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codeName="ThisWorkbook"/>
  <mc:AlternateContent xmlns:mc="http://schemas.openxmlformats.org/markup-compatibility/2006">
    <mc:Choice Requires="x15">
      <x15ac:absPath xmlns:x15ac="http://schemas.microsoft.com/office/spreadsheetml/2010/11/ac" url="O:\Team Fiets en voetganger\4. subteam Website en Community\3. Basisactiviteiten\c. Kennisbank\2. Fietsberaadpublicaties en (discussie)notities\Tools\"/>
    </mc:Choice>
  </mc:AlternateContent>
  <xr:revisionPtr revIDLastSave="0" documentId="8_{9526CCCB-022E-4874-BC25-A42AA3D8BF42}" xr6:coauthVersionLast="47" xr6:coauthVersionMax="47" xr10:uidLastSave="{00000000-0000-0000-0000-000000000000}"/>
  <bookViews>
    <workbookView xWindow="19090" yWindow="-110" windowWidth="38620" windowHeight="21220" tabRatio="755" xr2:uid="{00000000-000D-0000-FFFF-FFFF00000000}"/>
  </bookViews>
  <sheets>
    <sheet name="Home" sheetId="23" r:id="rId1"/>
    <sheet name="Gewenste rijbaanbreedte" sheetId="16" r:id="rId2"/>
    <sheet name="Spelen met de rijbaanbreedte" sheetId="20" r:id="rId3"/>
    <sheet name="Details variant 1" sheetId="21" r:id="rId4"/>
    <sheet name="Details variant 2" sheetId="22" r:id="rId5"/>
    <sheet name="berekeningen variant 1" sheetId="18" state="hidden" r:id="rId6"/>
    <sheet name="berekeningen variant 2" sheetId="19" state="hidden" r:id="rId7"/>
    <sheet name="hulptabellen" sheetId="17" state="hidden" r:id="rId8"/>
    <sheet name="opties" sheetId="24" state="hidden" r:id="rId9"/>
  </sheets>
  <definedNames>
    <definedName name="auto_ri1_var1">'Gewenste rijbaanbreedte'!$D$17</definedName>
    <definedName name="auto_ri1_var2">'Gewenste rijbaanbreedte'!$G$17</definedName>
    <definedName name="auto_ri2_var1">'Gewenste rijbaanbreedte'!$D$18</definedName>
    <definedName name="auto_ri2_var2">'Gewenste rijbaanbreedte'!$G$18</definedName>
    <definedName name="duofietsers_var1">'Gewenste rijbaanbreedte'!$C$21</definedName>
    <definedName name="duofietsers_var2">'Gewenste rijbaanbreedte'!$F$21</definedName>
    <definedName name="fiets_ri1_var1">'Gewenste rijbaanbreedte'!$C$17</definedName>
    <definedName name="fiets_ri1_var2">'Gewenste rijbaanbreedte'!$F$17</definedName>
    <definedName name="fiets_ri2_var1">'Gewenste rijbaanbreedte'!$C$18</definedName>
    <definedName name="fiets_ri2_var2">'Gewenste rijbaanbreedte'!$F$18</definedName>
    <definedName name="i_auto_sec_ri1_var1">'berekeningen variant 1'!$AJ$5</definedName>
    <definedName name="i_auto_sec_ri1_var2">'berekeningen variant 2'!$AJ$5</definedName>
    <definedName name="i_auto_sec_ri2_var1">'berekeningen variant 1'!$AK$5</definedName>
    <definedName name="i_auto_sec_ri2_var2">'berekeningen variant 2'!$AK$5</definedName>
    <definedName name="i_auto_var1">'Gewenste rijbaanbreedte'!$D$16</definedName>
    <definedName name="i_auto_var2">'Gewenste rijbaanbreedte'!$G$16</definedName>
    <definedName name="i_fiets_sec_ri1_var1">'berekeningen variant 1'!$AJ$4</definedName>
    <definedName name="i_fiets_sec_ri1_var2">'berekeningen variant 2'!$AJ$4</definedName>
    <definedName name="i_fiets_sec_ri2_var1">'berekeningen variant 1'!$AK$4</definedName>
    <definedName name="i_fiets_sec_ri2_var2">'berekeningen variant 2'!$AK$4</definedName>
    <definedName name="i_fiets_var1">'Gewenste rijbaanbreedte'!$C$16</definedName>
    <definedName name="i_fiets_var2">'Gewenste rijbaanbreedte'!$F$16</definedName>
    <definedName name="lengte_auto">hulptabellen!$K$4</definedName>
    <definedName name="lengte_fiets">hulptabellen!$K$3</definedName>
    <definedName name="oordeel">hulptabellen!$O$1:$Q$5</definedName>
    <definedName name="optieLookup1">INDEX(opties!$B$2:$B$7,MATCH('Gewenste rijbaanbreedte'!$S$53,opties!$A$2:$A$7,0))</definedName>
    <definedName name="optieLookup2">INDEX(opties!$B$2:$B$7,MATCH('Gewenste rijbaanbreedte'!$S$54,opties!$A$2:$A$7,0))</definedName>
    <definedName name="periode">hulptabellen!$K$6</definedName>
    <definedName name="rabatstrook_var1">'Gewenste rijbaanbreedte'!$C$24</definedName>
    <definedName name="rabatstrook_var2">'Gewenste rijbaanbreedte'!$F$24</definedName>
    <definedName name="t_auto_var1">'berekeningen variant 1'!$AL$5</definedName>
    <definedName name="t_auto_var2">'berekeningen variant 2'!$AL$5</definedName>
    <definedName name="t_fiets_var1">'berekeningen variant 1'!$AL$4</definedName>
    <definedName name="t_fiets_var2">'berekeningen variant 2'!$AL$4</definedName>
    <definedName name="t_inhalen">'berekeningen variant 1'!$AJ$8</definedName>
    <definedName name="t_inhalen_var2">'berekeningen variant 2'!$AJ$8</definedName>
    <definedName name="tab2_auto_ri1_var1">'Spelen met de rijbaanbreedte'!$D$12</definedName>
    <definedName name="tab2_auto_ri1_var2">'Spelen met de rijbaanbreedte'!$G$12</definedName>
    <definedName name="tab2_auto_ri2_var1">'Spelen met de rijbaanbreedte'!$D$13</definedName>
    <definedName name="tab2_auto_ri2_var2">'Spelen met de rijbaanbreedte'!$G$13</definedName>
    <definedName name="tab2_duofietsers_var1">'Spelen met de rijbaanbreedte'!$C$16</definedName>
    <definedName name="tab2_duofietsers_var2">'Spelen met de rijbaanbreedte'!$F$16</definedName>
    <definedName name="tab2_fiets_ri1_var1">'Spelen met de rijbaanbreedte'!$C$12</definedName>
    <definedName name="tab2_fiets_ri1_var2">'Spelen met de rijbaanbreedte'!$F$12</definedName>
    <definedName name="tab2_fiets_ri2_var1">'Spelen met de rijbaanbreedte'!$C$13</definedName>
    <definedName name="tab2_fiets_ri2_var2">'Spelen met de rijbaanbreedte'!$F$13</definedName>
    <definedName name="tab2_i_auto_var_1">'Spelen met de rijbaanbreedte'!$D$11</definedName>
    <definedName name="tab2_i_auto_var_2">'Spelen met de rijbaanbreedte'!$G$11</definedName>
    <definedName name="tab2_i_fiets_var1">'Spelen met de rijbaanbreedte'!$C$11</definedName>
    <definedName name="tab2_i_fiets_var2">'Spelen met de rijbaanbreedte'!$F$11</definedName>
    <definedName name="tab2_rabatstrook_var1">'Spelen met de rijbaanbreedte'!$C$19</definedName>
    <definedName name="tab2_rabatstrook_var2">'Spelen met de rijbaanbreedte'!$F$19</definedName>
    <definedName name="tab2_v_auto_var2">'Spelen met de rijbaanbreedte'!$G$14</definedName>
    <definedName name="tab2_v_fauto_var1">'Spelen met de rijbaanbreedte'!$D$14</definedName>
    <definedName name="tab2_v_fiets_var1">'Spelen met de rijbaanbreedte'!$C$14</definedName>
    <definedName name="tab2_v_fiets_var2">'Spelen met de rijbaanbreedte'!$F$14</definedName>
    <definedName name="tab2_vrachtverkeer_var1">'Spelen met de rijbaanbreedte'!$C$17</definedName>
    <definedName name="tab2_vrachtverkeer_var2">'Spelen met de rijbaanbreedte'!$F$17</definedName>
    <definedName name="v_auto_var1">'Gewenste rijbaanbreedte'!$D$19</definedName>
    <definedName name="v_auto_var2">'Gewenste rijbaanbreedte'!$G$19</definedName>
    <definedName name="v_fiets_var1">'Gewenste rijbaanbreedte'!$C$19</definedName>
    <definedName name="v_fiets_var2">'Gewenste rijbaanbreedte'!$F$19</definedName>
    <definedName name="vooruitkijken">hulptabellen!$K$2</definedName>
    <definedName name="vrachtverkeer_var1">'Gewenste rijbaanbreedte'!$C$22</definedName>
    <definedName name="vrachtverkeer_var2">'Gewenste rijbaanbreedte'!$F$22</definedName>
    <definedName name="wegbreedte_variant_1">'Spelen met de rijbaanbreedte'!$C$21</definedName>
    <definedName name="wegbreedte_variant_2">'Spelen met de rijbaanbreedte'!$F$21</definedName>
    <definedName name="weglengte">hulptabellen!$K$5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 i="19" l="1"/>
  <c r="AC2" i="19"/>
  <c r="Z2" i="19"/>
  <c r="Y2" i="19"/>
  <c r="X2" i="19"/>
  <c r="W2" i="19"/>
  <c r="V2" i="19"/>
  <c r="U2" i="19"/>
  <c r="T2" i="19"/>
  <c r="S2" i="19"/>
  <c r="R2" i="19"/>
  <c r="Q2" i="19"/>
  <c r="P2" i="19"/>
  <c r="O2" i="19"/>
  <c r="N2" i="19"/>
  <c r="M2" i="19"/>
  <c r="L2" i="19"/>
  <c r="K2" i="19"/>
  <c r="J2" i="19"/>
  <c r="I2" i="19"/>
  <c r="H2" i="19"/>
  <c r="G2" i="19"/>
  <c r="F2" i="19"/>
  <c r="E2" i="19"/>
  <c r="D2" i="19"/>
  <c r="C2" i="19"/>
  <c r="AD2" i="18"/>
  <c r="AC2" i="18"/>
  <c r="AB2" i="18"/>
  <c r="AA2" i="18"/>
  <c r="Z2" i="18"/>
  <c r="Y2" i="18"/>
  <c r="X2" i="18"/>
  <c r="W2" i="18"/>
  <c r="V2" i="18"/>
  <c r="U2" i="18"/>
  <c r="T2" i="18"/>
  <c r="S2" i="18"/>
  <c r="R2" i="18"/>
  <c r="Q2" i="18"/>
  <c r="P2" i="18"/>
  <c r="O2" i="18"/>
  <c r="N2" i="18"/>
  <c r="M2" i="18"/>
  <c r="L2" i="18"/>
  <c r="K2" i="18"/>
  <c r="J2" i="18"/>
  <c r="I2" i="18"/>
  <c r="H2" i="18"/>
  <c r="G2" i="18"/>
  <c r="F2" i="18"/>
  <c r="E2" i="18"/>
  <c r="D2" i="18"/>
  <c r="C2" i="18"/>
  <c r="C19" i="20"/>
  <c r="AJ8" i="19"/>
  <c r="AJ8" i="18"/>
  <c r="G19" i="20"/>
  <c r="D19" i="20"/>
  <c r="AA2" i="19" l="1"/>
  <c r="AB2" i="19"/>
  <c r="AD48" i="19"/>
  <c r="AC48" i="19"/>
  <c r="AB48" i="19"/>
  <c r="AA48" i="19"/>
  <c r="Z48" i="19"/>
  <c r="Y48" i="19"/>
  <c r="X48" i="19"/>
  <c r="W48" i="19"/>
  <c r="V48" i="19"/>
  <c r="U48" i="19"/>
  <c r="T48" i="19"/>
  <c r="S48" i="19"/>
  <c r="R48" i="19"/>
  <c r="Q48" i="19"/>
  <c r="P48" i="19"/>
  <c r="O48" i="19"/>
  <c r="N48" i="19"/>
  <c r="M48" i="19"/>
  <c r="L48" i="19"/>
  <c r="K48" i="19"/>
  <c r="J48" i="19"/>
  <c r="I48" i="19"/>
  <c r="H48" i="19"/>
  <c r="G48" i="19"/>
  <c r="F48" i="19"/>
  <c r="E48" i="19"/>
  <c r="D48" i="19"/>
  <c r="C48" i="19"/>
  <c r="AD48" i="18"/>
  <c r="AC48" i="18"/>
  <c r="AB48" i="18"/>
  <c r="AA48" i="18"/>
  <c r="Z48" i="18"/>
  <c r="Y48" i="18"/>
  <c r="X48" i="18"/>
  <c r="W48" i="18"/>
  <c r="V48" i="18"/>
  <c r="U48" i="18"/>
  <c r="T48" i="18"/>
  <c r="S48" i="18"/>
  <c r="R48" i="18"/>
  <c r="Q48" i="18"/>
  <c r="P48" i="18"/>
  <c r="O48" i="18"/>
  <c r="N48" i="18"/>
  <c r="M48" i="18"/>
  <c r="L48" i="18"/>
  <c r="K48" i="18"/>
  <c r="J48" i="18"/>
  <c r="I48" i="18"/>
  <c r="H48" i="18"/>
  <c r="G48" i="18"/>
  <c r="F48" i="18"/>
  <c r="E48" i="18"/>
  <c r="D48" i="18"/>
  <c r="C48" i="18"/>
  <c r="D54" i="18" l="1"/>
  <c r="C54" i="18"/>
  <c r="BC21" i="21"/>
  <c r="B42" i="16" l="1"/>
  <c r="BC21" i="22" l="1"/>
  <c r="D11" i="20" l="1"/>
  <c r="C11" i="20"/>
  <c r="D12" i="20"/>
  <c r="AY22" i="21" l="1"/>
  <c r="C12" i="20"/>
  <c r="O5" i="17" l="1"/>
  <c r="O4" i="17"/>
  <c r="O3" i="17"/>
  <c r="G14" i="20" l="1"/>
  <c r="G12" i="20"/>
  <c r="G11" i="20"/>
  <c r="F17" i="20"/>
  <c r="F16" i="20"/>
  <c r="F14" i="20"/>
  <c r="AZ3" i="22" s="1"/>
  <c r="F12" i="20"/>
  <c r="F11" i="20"/>
  <c r="AY22" i="22" s="1"/>
  <c r="C17" i="20"/>
  <c r="C16" i="20"/>
  <c r="D14" i="20"/>
  <c r="C14" i="20"/>
  <c r="AZ3" i="21" s="1"/>
  <c r="AY4" i="22" l="1"/>
  <c r="AX4" i="22"/>
  <c r="AX8" i="22" s="1"/>
  <c r="AX3" i="22"/>
  <c r="AX6" i="22" s="1"/>
  <c r="AZ4" i="21"/>
  <c r="BC3" i="21"/>
  <c r="BC4" i="21" s="1"/>
  <c r="BC5" i="21" s="1"/>
  <c r="BC3" i="22"/>
  <c r="BC4" i="22" s="1"/>
  <c r="BC5" i="22" s="1"/>
  <c r="AZ4" i="22"/>
  <c r="AX3" i="21"/>
  <c r="AX7" i="21" s="1"/>
  <c r="AX4" i="21"/>
  <c r="AX8" i="21" s="1"/>
  <c r="AX9" i="22" l="1"/>
  <c r="AX7" i="22"/>
  <c r="AX9" i="21"/>
  <c r="AX6" i="21"/>
  <c r="F10" i="16" l="1"/>
  <c r="G18" i="16"/>
  <c r="F18" i="16"/>
  <c r="F13" i="20" s="1"/>
  <c r="AY3" i="22" s="1"/>
  <c r="D18" i="16"/>
  <c r="C18" i="16"/>
  <c r="AL5" i="19"/>
  <c r="AJ5" i="19"/>
  <c r="AL4" i="19"/>
  <c r="AJ4" i="19"/>
  <c r="AD46" i="19"/>
  <c r="AC46" i="19"/>
  <c r="AB46" i="19"/>
  <c r="AA46" i="19"/>
  <c r="Z46" i="19"/>
  <c r="Y46" i="19"/>
  <c r="X46" i="19"/>
  <c r="W46" i="19"/>
  <c r="V46" i="19"/>
  <c r="U46" i="19"/>
  <c r="T46" i="19"/>
  <c r="S46" i="19"/>
  <c r="R46" i="19"/>
  <c r="Q46" i="19"/>
  <c r="P46" i="19"/>
  <c r="O46" i="19"/>
  <c r="N46" i="19"/>
  <c r="M46" i="19"/>
  <c r="L46" i="19"/>
  <c r="K46" i="19"/>
  <c r="J46" i="19"/>
  <c r="I46" i="19"/>
  <c r="H46" i="19"/>
  <c r="G46" i="19"/>
  <c r="F46" i="19"/>
  <c r="E46" i="19"/>
  <c r="D46" i="19"/>
  <c r="C46" i="19"/>
  <c r="AD41" i="19"/>
  <c r="AC41" i="19"/>
  <c r="AB41" i="19"/>
  <c r="AA41" i="19"/>
  <c r="Z41" i="19"/>
  <c r="Y41" i="19"/>
  <c r="X41" i="19"/>
  <c r="W41" i="19"/>
  <c r="V41" i="19"/>
  <c r="U41" i="19"/>
  <c r="T41" i="19"/>
  <c r="S41" i="19"/>
  <c r="R41" i="19"/>
  <c r="Q41" i="19"/>
  <c r="P41" i="19"/>
  <c r="O41" i="19"/>
  <c r="N41" i="19"/>
  <c r="M41" i="19"/>
  <c r="L41" i="19"/>
  <c r="K41" i="19"/>
  <c r="J41" i="19"/>
  <c r="I41" i="19"/>
  <c r="H41" i="19"/>
  <c r="G41" i="19"/>
  <c r="F41" i="19"/>
  <c r="E41" i="19"/>
  <c r="D41" i="19"/>
  <c r="C41" i="19"/>
  <c r="AD40" i="19"/>
  <c r="AC40" i="19"/>
  <c r="AB40" i="19"/>
  <c r="AA40" i="19"/>
  <c r="Z40" i="19"/>
  <c r="Y40" i="19"/>
  <c r="X40" i="19"/>
  <c r="W40" i="19"/>
  <c r="V40" i="19"/>
  <c r="U40" i="19"/>
  <c r="T40" i="19"/>
  <c r="S40" i="19"/>
  <c r="R40" i="19"/>
  <c r="Q40" i="19"/>
  <c r="P40" i="19"/>
  <c r="O40" i="19"/>
  <c r="N40" i="19"/>
  <c r="M40" i="19"/>
  <c r="L40" i="19"/>
  <c r="K40" i="19"/>
  <c r="J40" i="19"/>
  <c r="I40" i="19"/>
  <c r="H40" i="19"/>
  <c r="G40" i="19"/>
  <c r="F40" i="19"/>
  <c r="E40" i="19"/>
  <c r="D40" i="19"/>
  <c r="C40" i="19"/>
  <c r="AD39" i="19"/>
  <c r="AC39" i="19"/>
  <c r="AB39" i="19"/>
  <c r="AA39" i="19"/>
  <c r="Z39" i="19"/>
  <c r="Y39" i="19"/>
  <c r="X39" i="19"/>
  <c r="W39" i="19"/>
  <c r="V39" i="19"/>
  <c r="U39" i="19"/>
  <c r="T39" i="19"/>
  <c r="S39" i="19"/>
  <c r="R39" i="19"/>
  <c r="Q39" i="19"/>
  <c r="P39" i="19"/>
  <c r="O39" i="19"/>
  <c r="N39" i="19"/>
  <c r="M39" i="19"/>
  <c r="L39" i="19"/>
  <c r="K39" i="19"/>
  <c r="J39" i="19"/>
  <c r="I39" i="19"/>
  <c r="H39" i="19"/>
  <c r="G39" i="19"/>
  <c r="F39" i="19"/>
  <c r="E39" i="19"/>
  <c r="D39" i="19"/>
  <c r="C39" i="19"/>
  <c r="AD38" i="19"/>
  <c r="AC38" i="19"/>
  <c r="AB38" i="19"/>
  <c r="AA38" i="19"/>
  <c r="Z38" i="19"/>
  <c r="Y38" i="19"/>
  <c r="X38" i="19"/>
  <c r="W38" i="19"/>
  <c r="V38" i="19"/>
  <c r="U38" i="19"/>
  <c r="T38" i="19"/>
  <c r="S38" i="19"/>
  <c r="R38" i="19"/>
  <c r="Q38" i="19"/>
  <c r="P38" i="19"/>
  <c r="O38" i="19"/>
  <c r="N38" i="19"/>
  <c r="M38" i="19"/>
  <c r="L38" i="19"/>
  <c r="K38" i="19"/>
  <c r="J38" i="19"/>
  <c r="I38" i="19"/>
  <c r="H38" i="19"/>
  <c r="G38" i="19"/>
  <c r="F38" i="19"/>
  <c r="E38" i="19"/>
  <c r="D38" i="19"/>
  <c r="C38" i="19"/>
  <c r="AD37" i="19"/>
  <c r="AC37" i="19"/>
  <c r="AB37" i="19"/>
  <c r="AA37" i="19"/>
  <c r="Z37" i="19"/>
  <c r="Y37" i="19"/>
  <c r="X37" i="19"/>
  <c r="W37" i="19"/>
  <c r="V37" i="19"/>
  <c r="U37" i="19"/>
  <c r="T37" i="19"/>
  <c r="S37" i="19"/>
  <c r="R37" i="19"/>
  <c r="Q37" i="19"/>
  <c r="P37" i="19"/>
  <c r="O37" i="19"/>
  <c r="N37" i="19"/>
  <c r="M37" i="19"/>
  <c r="L37" i="19"/>
  <c r="K37" i="19"/>
  <c r="J37" i="19"/>
  <c r="I37" i="19"/>
  <c r="H37" i="19"/>
  <c r="G37" i="19"/>
  <c r="F37" i="19"/>
  <c r="E37" i="19"/>
  <c r="D37" i="19"/>
  <c r="C37" i="19"/>
  <c r="AD36" i="19"/>
  <c r="AC36" i="19"/>
  <c r="AB36" i="19"/>
  <c r="AA36" i="19"/>
  <c r="Z36" i="19"/>
  <c r="Y36" i="19"/>
  <c r="X36" i="19"/>
  <c r="W36" i="19"/>
  <c r="V36" i="19"/>
  <c r="U36" i="19"/>
  <c r="T36" i="19"/>
  <c r="S36" i="19"/>
  <c r="R36" i="19"/>
  <c r="Q36" i="19"/>
  <c r="P36" i="19"/>
  <c r="O36" i="19"/>
  <c r="N36" i="19"/>
  <c r="M36" i="19"/>
  <c r="L36" i="19"/>
  <c r="K36" i="19"/>
  <c r="J36" i="19"/>
  <c r="I36" i="19"/>
  <c r="H36" i="19"/>
  <c r="G36" i="19"/>
  <c r="F36" i="19"/>
  <c r="E36" i="19"/>
  <c r="D36" i="19"/>
  <c r="C36" i="19"/>
  <c r="AD35" i="19"/>
  <c r="AC35" i="19"/>
  <c r="AB35" i="19"/>
  <c r="AA35" i="19"/>
  <c r="Z35" i="19"/>
  <c r="Y35" i="19"/>
  <c r="X35" i="19"/>
  <c r="W35" i="19"/>
  <c r="V35" i="19"/>
  <c r="U35" i="19"/>
  <c r="T35" i="19"/>
  <c r="S35" i="19"/>
  <c r="R35" i="19"/>
  <c r="Q35" i="19"/>
  <c r="P35" i="19"/>
  <c r="O35" i="19"/>
  <c r="N35" i="19"/>
  <c r="M35" i="19"/>
  <c r="L35" i="19"/>
  <c r="K35" i="19"/>
  <c r="J35" i="19"/>
  <c r="I35" i="19"/>
  <c r="H35" i="19"/>
  <c r="G35" i="19"/>
  <c r="F35" i="19"/>
  <c r="E35" i="19"/>
  <c r="D35" i="19"/>
  <c r="C35" i="19"/>
  <c r="AD34" i="19"/>
  <c r="AC34" i="19"/>
  <c r="AB34" i="19"/>
  <c r="AA34" i="19"/>
  <c r="Z34" i="19"/>
  <c r="Y34" i="19"/>
  <c r="X34" i="19"/>
  <c r="W34" i="19"/>
  <c r="V34" i="19"/>
  <c r="U34" i="19"/>
  <c r="T34" i="19"/>
  <c r="S34" i="19"/>
  <c r="R34" i="19"/>
  <c r="Q34" i="19"/>
  <c r="P34" i="19"/>
  <c r="O34" i="19"/>
  <c r="N34" i="19"/>
  <c r="M34" i="19"/>
  <c r="L34" i="19"/>
  <c r="K34" i="19"/>
  <c r="J34" i="19"/>
  <c r="I34" i="19"/>
  <c r="H34" i="19"/>
  <c r="G34" i="19"/>
  <c r="F34" i="19"/>
  <c r="E34" i="19"/>
  <c r="D34" i="19"/>
  <c r="C34" i="19"/>
  <c r="AD33" i="19"/>
  <c r="AC33" i="19"/>
  <c r="AB33" i="19"/>
  <c r="AA33" i="19"/>
  <c r="Z33" i="19"/>
  <c r="Y33" i="19"/>
  <c r="X33" i="19"/>
  <c r="W33" i="19"/>
  <c r="V33" i="19"/>
  <c r="U33" i="19"/>
  <c r="T33" i="19"/>
  <c r="S33" i="19"/>
  <c r="R33" i="19"/>
  <c r="Q33" i="19"/>
  <c r="P33" i="19"/>
  <c r="O33" i="19"/>
  <c r="N33" i="19"/>
  <c r="M33" i="19"/>
  <c r="L33" i="19"/>
  <c r="K33" i="19"/>
  <c r="J33" i="19"/>
  <c r="I33" i="19"/>
  <c r="H33" i="19"/>
  <c r="G33" i="19"/>
  <c r="F33" i="19"/>
  <c r="E33" i="19"/>
  <c r="D33" i="19"/>
  <c r="C33" i="19"/>
  <c r="AD30" i="19"/>
  <c r="AC30" i="19"/>
  <c r="AB30" i="19"/>
  <c r="AA30" i="19"/>
  <c r="Z30" i="19"/>
  <c r="Y30" i="19"/>
  <c r="X30" i="19"/>
  <c r="W30" i="19"/>
  <c r="V30" i="19"/>
  <c r="U30" i="19"/>
  <c r="T30" i="19"/>
  <c r="S30" i="19"/>
  <c r="R30" i="19"/>
  <c r="Q30" i="19"/>
  <c r="P30" i="19"/>
  <c r="O30" i="19"/>
  <c r="N30" i="19"/>
  <c r="M30" i="19"/>
  <c r="L30" i="19"/>
  <c r="K30" i="19"/>
  <c r="J30" i="19"/>
  <c r="I30" i="19"/>
  <c r="H30" i="19"/>
  <c r="G30" i="19"/>
  <c r="F30" i="19"/>
  <c r="E30" i="19"/>
  <c r="D30" i="19"/>
  <c r="C30" i="19"/>
  <c r="AD29" i="19"/>
  <c r="AC29" i="19"/>
  <c r="AB29" i="19"/>
  <c r="AA29" i="19"/>
  <c r="Z29" i="19"/>
  <c r="Y29" i="19"/>
  <c r="X29" i="19"/>
  <c r="W29" i="19"/>
  <c r="V29" i="19"/>
  <c r="U29" i="19"/>
  <c r="T29" i="19"/>
  <c r="S29" i="19"/>
  <c r="R29" i="19"/>
  <c r="Q29" i="19"/>
  <c r="P29" i="19"/>
  <c r="O29" i="19"/>
  <c r="N29" i="19"/>
  <c r="M29" i="19"/>
  <c r="L29" i="19"/>
  <c r="K29" i="19"/>
  <c r="J29" i="19"/>
  <c r="I29" i="19"/>
  <c r="H29" i="19"/>
  <c r="G29" i="19"/>
  <c r="F29" i="19"/>
  <c r="E29" i="19"/>
  <c r="D29" i="19"/>
  <c r="C29" i="19"/>
  <c r="AD28" i="19"/>
  <c r="AC28" i="19"/>
  <c r="AB28" i="19"/>
  <c r="AA28" i="19"/>
  <c r="Z28" i="19"/>
  <c r="Y28" i="19"/>
  <c r="X28" i="19"/>
  <c r="W28" i="19"/>
  <c r="V28" i="19"/>
  <c r="U28" i="19"/>
  <c r="T28" i="19"/>
  <c r="S28" i="19"/>
  <c r="R28" i="19"/>
  <c r="Q28" i="19"/>
  <c r="P28" i="19"/>
  <c r="O28" i="19"/>
  <c r="N28" i="19"/>
  <c r="M28" i="19"/>
  <c r="L28" i="19"/>
  <c r="K28" i="19"/>
  <c r="J28" i="19"/>
  <c r="I28" i="19"/>
  <c r="H28" i="19"/>
  <c r="G28" i="19"/>
  <c r="F28" i="19"/>
  <c r="E28" i="19"/>
  <c r="D28" i="19"/>
  <c r="C28" i="19"/>
  <c r="AD27" i="19"/>
  <c r="AC27" i="19"/>
  <c r="AB27" i="19"/>
  <c r="AA27" i="19"/>
  <c r="Z27" i="19"/>
  <c r="Y27" i="19"/>
  <c r="X27" i="19"/>
  <c r="W27" i="19"/>
  <c r="V27" i="19"/>
  <c r="U27" i="19"/>
  <c r="T27" i="19"/>
  <c r="S27" i="19"/>
  <c r="R27" i="19"/>
  <c r="Q27" i="19"/>
  <c r="P27" i="19"/>
  <c r="O27" i="19"/>
  <c r="N27" i="19"/>
  <c r="M27" i="19"/>
  <c r="L27" i="19"/>
  <c r="K27" i="19"/>
  <c r="J27" i="19"/>
  <c r="I27" i="19"/>
  <c r="H27" i="19"/>
  <c r="G27" i="19"/>
  <c r="F27" i="19"/>
  <c r="E27" i="19"/>
  <c r="D27" i="19"/>
  <c r="C27" i="19"/>
  <c r="AD26" i="19"/>
  <c r="AC26" i="19"/>
  <c r="AB26" i="19"/>
  <c r="AA26" i="19"/>
  <c r="Z26" i="19"/>
  <c r="Y26" i="19"/>
  <c r="X26" i="19"/>
  <c r="W26" i="19"/>
  <c r="V26" i="19"/>
  <c r="U26" i="19"/>
  <c r="T26" i="19"/>
  <c r="S26" i="19"/>
  <c r="R26" i="19"/>
  <c r="Q26" i="19"/>
  <c r="P26" i="19"/>
  <c r="O26" i="19"/>
  <c r="N26" i="19"/>
  <c r="M26" i="19"/>
  <c r="L26" i="19"/>
  <c r="K26" i="19"/>
  <c r="J26" i="19"/>
  <c r="I26" i="19"/>
  <c r="H26" i="19"/>
  <c r="G26" i="19"/>
  <c r="F26" i="19"/>
  <c r="E26" i="19"/>
  <c r="D26" i="19"/>
  <c r="C26" i="19"/>
  <c r="AD25" i="19"/>
  <c r="AC25" i="19"/>
  <c r="AB25" i="19"/>
  <c r="AA25" i="19"/>
  <c r="Z25" i="19"/>
  <c r="Y25" i="19"/>
  <c r="X25" i="19"/>
  <c r="W25" i="19"/>
  <c r="V25" i="19"/>
  <c r="U25" i="19"/>
  <c r="T25" i="19"/>
  <c r="S25" i="19"/>
  <c r="R25" i="19"/>
  <c r="Q25" i="19"/>
  <c r="P25" i="19"/>
  <c r="O25" i="19"/>
  <c r="N25" i="19"/>
  <c r="M25" i="19"/>
  <c r="L25" i="19"/>
  <c r="K25" i="19"/>
  <c r="J25" i="19"/>
  <c r="I25" i="19"/>
  <c r="H25" i="19"/>
  <c r="G25" i="19"/>
  <c r="F25" i="19"/>
  <c r="E25" i="19"/>
  <c r="D25" i="19"/>
  <c r="C25" i="19"/>
  <c r="AD22" i="19"/>
  <c r="AC22" i="19"/>
  <c r="AB22" i="19"/>
  <c r="AA22" i="19"/>
  <c r="Z22" i="19"/>
  <c r="Y22" i="19"/>
  <c r="X22" i="19"/>
  <c r="W22" i="19"/>
  <c r="V22" i="19"/>
  <c r="U22" i="19"/>
  <c r="T22" i="19"/>
  <c r="S22" i="19"/>
  <c r="R22" i="19"/>
  <c r="Q22" i="19"/>
  <c r="P22" i="19"/>
  <c r="O22" i="19"/>
  <c r="N22" i="19"/>
  <c r="M22" i="19"/>
  <c r="L22" i="19"/>
  <c r="K22" i="19"/>
  <c r="J22" i="19"/>
  <c r="I22" i="19"/>
  <c r="H22" i="19"/>
  <c r="G22" i="19"/>
  <c r="F22" i="19"/>
  <c r="E22" i="19"/>
  <c r="D22" i="19"/>
  <c r="C22" i="19"/>
  <c r="AD21" i="19"/>
  <c r="AC21" i="19"/>
  <c r="AB21" i="19"/>
  <c r="AA21" i="19"/>
  <c r="Z21" i="19"/>
  <c r="Y21" i="19"/>
  <c r="X21" i="19"/>
  <c r="W21" i="19"/>
  <c r="V21" i="19"/>
  <c r="U21" i="19"/>
  <c r="T21" i="19"/>
  <c r="S21" i="19"/>
  <c r="R21" i="19"/>
  <c r="Q21" i="19"/>
  <c r="P21" i="19"/>
  <c r="O21" i="19"/>
  <c r="N21" i="19"/>
  <c r="M21" i="19"/>
  <c r="L21" i="19"/>
  <c r="K21" i="19"/>
  <c r="J21" i="19"/>
  <c r="I21" i="19"/>
  <c r="H21" i="19"/>
  <c r="G21" i="19"/>
  <c r="F21" i="19"/>
  <c r="E21" i="19"/>
  <c r="D21" i="19"/>
  <c r="C21" i="19"/>
  <c r="AD20" i="19"/>
  <c r="AC20" i="19"/>
  <c r="AB20" i="19"/>
  <c r="AA20" i="19"/>
  <c r="Z20" i="19"/>
  <c r="Y20" i="19"/>
  <c r="X20" i="19"/>
  <c r="W20" i="19"/>
  <c r="V20" i="19"/>
  <c r="U20" i="19"/>
  <c r="T20" i="19"/>
  <c r="S20" i="19"/>
  <c r="R20" i="19"/>
  <c r="Q20" i="19"/>
  <c r="P20" i="19"/>
  <c r="O20" i="19"/>
  <c r="N20" i="19"/>
  <c r="M20" i="19"/>
  <c r="L20" i="19"/>
  <c r="K20" i="19"/>
  <c r="J20" i="19"/>
  <c r="I20" i="19"/>
  <c r="H20" i="19"/>
  <c r="G20" i="19"/>
  <c r="F20" i="19"/>
  <c r="E20" i="19"/>
  <c r="D20" i="19"/>
  <c r="C20" i="19"/>
  <c r="AD19" i="19"/>
  <c r="AC19" i="19"/>
  <c r="AB19" i="19"/>
  <c r="AA19" i="19"/>
  <c r="Z19" i="19"/>
  <c r="Y19" i="19"/>
  <c r="X19" i="19"/>
  <c r="W19" i="19"/>
  <c r="V19" i="19"/>
  <c r="U19" i="19"/>
  <c r="T19" i="19"/>
  <c r="S19" i="19"/>
  <c r="R19" i="19"/>
  <c r="Q19" i="19"/>
  <c r="P19" i="19"/>
  <c r="O19" i="19"/>
  <c r="N19" i="19"/>
  <c r="M19" i="19"/>
  <c r="L19" i="19"/>
  <c r="K19" i="19"/>
  <c r="J19" i="19"/>
  <c r="I19" i="19"/>
  <c r="H19" i="19"/>
  <c r="G19" i="19"/>
  <c r="F19" i="19"/>
  <c r="E19" i="19"/>
  <c r="D19" i="19"/>
  <c r="C19" i="19"/>
  <c r="AD18" i="19"/>
  <c r="AC18" i="19"/>
  <c r="AB18" i="19"/>
  <c r="AA18" i="19"/>
  <c r="Z18" i="19"/>
  <c r="Y18" i="19"/>
  <c r="X18" i="19"/>
  <c r="W18" i="19"/>
  <c r="V18" i="19"/>
  <c r="U18" i="19"/>
  <c r="T18" i="19"/>
  <c r="S18" i="19"/>
  <c r="R18" i="19"/>
  <c r="Q18" i="19"/>
  <c r="P18" i="19"/>
  <c r="O18" i="19"/>
  <c r="N18" i="19"/>
  <c r="M18" i="19"/>
  <c r="L18" i="19"/>
  <c r="K18" i="19"/>
  <c r="J18" i="19"/>
  <c r="I18" i="19"/>
  <c r="H18" i="19"/>
  <c r="G18" i="19"/>
  <c r="F18" i="19"/>
  <c r="E18" i="19"/>
  <c r="D18" i="19"/>
  <c r="C18" i="19"/>
  <c r="AD17" i="19"/>
  <c r="AC17" i="19"/>
  <c r="AB17" i="19"/>
  <c r="AA17" i="19"/>
  <c r="Z17" i="19"/>
  <c r="Y17" i="19"/>
  <c r="X17" i="19"/>
  <c r="W17" i="19"/>
  <c r="V17" i="19"/>
  <c r="U17" i="19"/>
  <c r="T17" i="19"/>
  <c r="S17" i="19"/>
  <c r="R17" i="19"/>
  <c r="Q17" i="19"/>
  <c r="P17" i="19"/>
  <c r="O17" i="19"/>
  <c r="N17" i="19"/>
  <c r="M17" i="19"/>
  <c r="L17" i="19"/>
  <c r="K17" i="19"/>
  <c r="J17" i="19"/>
  <c r="I17" i="19"/>
  <c r="H17" i="19"/>
  <c r="G17" i="19"/>
  <c r="F17" i="19"/>
  <c r="E17" i="19"/>
  <c r="D17" i="19"/>
  <c r="C17" i="19"/>
  <c r="AD14" i="19"/>
  <c r="AC14" i="19"/>
  <c r="AB14" i="19"/>
  <c r="AA14" i="19"/>
  <c r="Z14" i="19"/>
  <c r="Y14" i="19"/>
  <c r="X14" i="19"/>
  <c r="W14" i="19"/>
  <c r="V14" i="19"/>
  <c r="U14" i="19"/>
  <c r="T14" i="19"/>
  <c r="S14" i="19"/>
  <c r="R14" i="19"/>
  <c r="Q14" i="19"/>
  <c r="P14" i="19"/>
  <c r="O14" i="19"/>
  <c r="N14" i="19"/>
  <c r="M14" i="19"/>
  <c r="L14" i="19"/>
  <c r="K14" i="19"/>
  <c r="J14" i="19"/>
  <c r="I14" i="19"/>
  <c r="H14" i="19"/>
  <c r="G14" i="19"/>
  <c r="F14" i="19"/>
  <c r="E14" i="19"/>
  <c r="D14" i="19"/>
  <c r="C14" i="19"/>
  <c r="AD13" i="19"/>
  <c r="AC13" i="19"/>
  <c r="AB13" i="19"/>
  <c r="AA13" i="19"/>
  <c r="Z13" i="19"/>
  <c r="Y13" i="19"/>
  <c r="X13" i="19"/>
  <c r="W13" i="19"/>
  <c r="V13" i="19"/>
  <c r="U13" i="19"/>
  <c r="T13" i="19"/>
  <c r="S13" i="19"/>
  <c r="R13" i="19"/>
  <c r="Q13" i="19"/>
  <c r="P13" i="19"/>
  <c r="O13" i="19"/>
  <c r="N13" i="19"/>
  <c r="M13" i="19"/>
  <c r="L13" i="19"/>
  <c r="K13" i="19"/>
  <c r="J13" i="19"/>
  <c r="I13" i="19"/>
  <c r="H13" i="19"/>
  <c r="G13" i="19"/>
  <c r="F13" i="19"/>
  <c r="E13" i="19"/>
  <c r="D13" i="19"/>
  <c r="C13" i="19"/>
  <c r="AD12" i="19"/>
  <c r="AC12" i="19"/>
  <c r="AB12" i="19"/>
  <c r="AA12" i="19"/>
  <c r="Z12" i="19"/>
  <c r="Y12" i="19"/>
  <c r="X12" i="19"/>
  <c r="W12" i="19"/>
  <c r="V12" i="19"/>
  <c r="U12" i="19"/>
  <c r="T12" i="19"/>
  <c r="S12" i="19"/>
  <c r="R12" i="19"/>
  <c r="Q12" i="19"/>
  <c r="P12" i="19"/>
  <c r="O12" i="19"/>
  <c r="N12" i="19"/>
  <c r="M12" i="19"/>
  <c r="L12" i="19"/>
  <c r="K12" i="19"/>
  <c r="J12" i="19"/>
  <c r="I12" i="19"/>
  <c r="H12" i="19"/>
  <c r="G12" i="19"/>
  <c r="F12" i="19"/>
  <c r="E12" i="19"/>
  <c r="D12" i="19"/>
  <c r="C12" i="19"/>
  <c r="AD11" i="19"/>
  <c r="AC11" i="19"/>
  <c r="AB11" i="19"/>
  <c r="AA11" i="19"/>
  <c r="Z11" i="19"/>
  <c r="Y11" i="19"/>
  <c r="X11" i="19"/>
  <c r="W11" i="19"/>
  <c r="V11" i="19"/>
  <c r="U11" i="19"/>
  <c r="T11" i="19"/>
  <c r="S11" i="19"/>
  <c r="R11" i="19"/>
  <c r="Q11" i="19"/>
  <c r="P11" i="19"/>
  <c r="O11" i="19"/>
  <c r="N11" i="19"/>
  <c r="M11" i="19"/>
  <c r="L11" i="19"/>
  <c r="K11" i="19"/>
  <c r="J11" i="19"/>
  <c r="I11" i="19"/>
  <c r="H11" i="19"/>
  <c r="G11" i="19"/>
  <c r="F11" i="19"/>
  <c r="E11" i="19"/>
  <c r="D11" i="19"/>
  <c r="C11" i="19"/>
  <c r="AD8" i="19"/>
  <c r="AC8" i="19"/>
  <c r="AB8" i="19"/>
  <c r="AA8" i="19"/>
  <c r="Z8" i="19"/>
  <c r="Y8" i="19"/>
  <c r="X8" i="19"/>
  <c r="W8" i="19"/>
  <c r="V8" i="19"/>
  <c r="U8" i="19"/>
  <c r="T8" i="19"/>
  <c r="S8" i="19"/>
  <c r="R8" i="19"/>
  <c r="Q8" i="19"/>
  <c r="P8" i="19"/>
  <c r="O8" i="19"/>
  <c r="N8" i="19"/>
  <c r="M8" i="19"/>
  <c r="L8" i="19"/>
  <c r="K8" i="19"/>
  <c r="J8" i="19"/>
  <c r="I8" i="19"/>
  <c r="H8" i="19"/>
  <c r="G8" i="19"/>
  <c r="F8" i="19"/>
  <c r="E8" i="19"/>
  <c r="D8" i="19"/>
  <c r="C8" i="19"/>
  <c r="AD7" i="19"/>
  <c r="AC7" i="19"/>
  <c r="AB7" i="19"/>
  <c r="AA7" i="19"/>
  <c r="Z7" i="19"/>
  <c r="Y7" i="19"/>
  <c r="X7" i="19"/>
  <c r="W7" i="19"/>
  <c r="V7" i="19"/>
  <c r="U7" i="19"/>
  <c r="T7" i="19"/>
  <c r="S7" i="19"/>
  <c r="R7" i="19"/>
  <c r="Q7" i="19"/>
  <c r="P7" i="19"/>
  <c r="O7" i="19"/>
  <c r="N7" i="19"/>
  <c r="M7" i="19"/>
  <c r="L7" i="19"/>
  <c r="K7" i="19"/>
  <c r="J7" i="19"/>
  <c r="I7" i="19"/>
  <c r="H7" i="19"/>
  <c r="G7" i="19"/>
  <c r="F7" i="19"/>
  <c r="E7" i="19"/>
  <c r="D7" i="19"/>
  <c r="C7" i="19"/>
  <c r="AD6" i="19"/>
  <c r="AC6" i="19"/>
  <c r="AB6" i="19"/>
  <c r="AA6" i="19"/>
  <c r="Z6" i="19"/>
  <c r="Y6" i="19"/>
  <c r="X6" i="19"/>
  <c r="W6" i="19"/>
  <c r="V6" i="19"/>
  <c r="U6" i="19"/>
  <c r="T6" i="19"/>
  <c r="S6" i="19"/>
  <c r="R6" i="19"/>
  <c r="Q6" i="19"/>
  <c r="P6" i="19"/>
  <c r="O6" i="19"/>
  <c r="N6" i="19"/>
  <c r="M6" i="19"/>
  <c r="L6" i="19"/>
  <c r="K6" i="19"/>
  <c r="J6" i="19"/>
  <c r="I6" i="19"/>
  <c r="H6" i="19"/>
  <c r="G6" i="19"/>
  <c r="F6" i="19"/>
  <c r="E6" i="19"/>
  <c r="D6" i="19"/>
  <c r="C6" i="19"/>
  <c r="AD5" i="19"/>
  <c r="AC5" i="19"/>
  <c r="AB5" i="19"/>
  <c r="AA5" i="19"/>
  <c r="Z5" i="19"/>
  <c r="Y5" i="19"/>
  <c r="X5" i="19"/>
  <c r="W5" i="19"/>
  <c r="V5" i="19"/>
  <c r="U5" i="19"/>
  <c r="T5" i="19"/>
  <c r="S5" i="19"/>
  <c r="R5" i="19"/>
  <c r="Q5" i="19"/>
  <c r="P5" i="19"/>
  <c r="O5" i="19"/>
  <c r="N5" i="19"/>
  <c r="M5" i="19"/>
  <c r="L5" i="19"/>
  <c r="K5" i="19"/>
  <c r="J5" i="19"/>
  <c r="I5" i="19"/>
  <c r="H5" i="19"/>
  <c r="G5" i="19"/>
  <c r="F5" i="19"/>
  <c r="E5" i="19"/>
  <c r="D5" i="19"/>
  <c r="C5" i="19"/>
  <c r="AD41" i="18"/>
  <c r="AC41" i="18"/>
  <c r="AB41" i="18"/>
  <c r="AA41" i="18"/>
  <c r="Z41" i="18"/>
  <c r="Y41" i="18"/>
  <c r="X41" i="18"/>
  <c r="W41" i="18"/>
  <c r="V41" i="18"/>
  <c r="U41" i="18"/>
  <c r="T41" i="18"/>
  <c r="S41" i="18"/>
  <c r="R41" i="18"/>
  <c r="Q41" i="18"/>
  <c r="P41" i="18"/>
  <c r="O41" i="18"/>
  <c r="N41" i="18"/>
  <c r="M41" i="18"/>
  <c r="L41" i="18"/>
  <c r="K41" i="18"/>
  <c r="J41" i="18"/>
  <c r="I41" i="18"/>
  <c r="H41" i="18"/>
  <c r="G41" i="18"/>
  <c r="F41" i="18"/>
  <c r="E41" i="18"/>
  <c r="D41" i="18"/>
  <c r="C41" i="18"/>
  <c r="AD40" i="18"/>
  <c r="AC40" i="18"/>
  <c r="AB40" i="18"/>
  <c r="AA40" i="18"/>
  <c r="Z40" i="18"/>
  <c r="Y40" i="18"/>
  <c r="X40" i="18"/>
  <c r="W40" i="18"/>
  <c r="V40" i="18"/>
  <c r="U40" i="18"/>
  <c r="T40" i="18"/>
  <c r="S40" i="18"/>
  <c r="R40" i="18"/>
  <c r="Q40" i="18"/>
  <c r="P40" i="18"/>
  <c r="O40" i="18"/>
  <c r="N40" i="18"/>
  <c r="M40" i="18"/>
  <c r="L40" i="18"/>
  <c r="K40" i="18"/>
  <c r="J40" i="18"/>
  <c r="I40" i="18"/>
  <c r="H40" i="18"/>
  <c r="G40" i="18"/>
  <c r="F40" i="18"/>
  <c r="E40" i="18"/>
  <c r="D40" i="18"/>
  <c r="C40" i="18"/>
  <c r="AD39" i="18"/>
  <c r="AC39" i="18"/>
  <c r="AB39" i="18"/>
  <c r="AA39" i="18"/>
  <c r="Z39" i="18"/>
  <c r="Y39" i="18"/>
  <c r="X39" i="18"/>
  <c r="W39" i="18"/>
  <c r="V39" i="18"/>
  <c r="U39" i="18"/>
  <c r="T39" i="18"/>
  <c r="S39" i="18"/>
  <c r="R39" i="18"/>
  <c r="Q39" i="18"/>
  <c r="P39" i="18"/>
  <c r="O39" i="18"/>
  <c r="N39" i="18"/>
  <c r="M39" i="18"/>
  <c r="L39" i="18"/>
  <c r="K39" i="18"/>
  <c r="J39" i="18"/>
  <c r="I39" i="18"/>
  <c r="H39" i="18"/>
  <c r="G39" i="18"/>
  <c r="F39" i="18"/>
  <c r="E39" i="18"/>
  <c r="D39" i="18"/>
  <c r="C39" i="18"/>
  <c r="AD38" i="18"/>
  <c r="AC38" i="18"/>
  <c r="AB38" i="18"/>
  <c r="AA38" i="18"/>
  <c r="Z38" i="18"/>
  <c r="Y38" i="18"/>
  <c r="X38" i="18"/>
  <c r="W38" i="18"/>
  <c r="V38" i="18"/>
  <c r="U38" i="18"/>
  <c r="T38" i="18"/>
  <c r="S38" i="18"/>
  <c r="R38" i="18"/>
  <c r="Q38" i="18"/>
  <c r="P38" i="18"/>
  <c r="O38" i="18"/>
  <c r="N38" i="18"/>
  <c r="M38" i="18"/>
  <c r="L38" i="18"/>
  <c r="K38" i="18"/>
  <c r="J38" i="18"/>
  <c r="I38" i="18"/>
  <c r="H38" i="18"/>
  <c r="G38" i="18"/>
  <c r="F38" i="18"/>
  <c r="E38" i="18"/>
  <c r="D38" i="18"/>
  <c r="C38" i="18"/>
  <c r="AD37" i="18"/>
  <c r="AC37" i="18"/>
  <c r="AB37" i="18"/>
  <c r="AA37" i="18"/>
  <c r="Z37" i="18"/>
  <c r="Y37" i="18"/>
  <c r="X37" i="18"/>
  <c r="W37" i="18"/>
  <c r="V37" i="18"/>
  <c r="U37" i="18"/>
  <c r="T37" i="18"/>
  <c r="S37" i="18"/>
  <c r="R37" i="18"/>
  <c r="Q37" i="18"/>
  <c r="P37" i="18"/>
  <c r="O37" i="18"/>
  <c r="N37" i="18"/>
  <c r="M37" i="18"/>
  <c r="L37" i="18"/>
  <c r="K37" i="18"/>
  <c r="J37" i="18"/>
  <c r="I37" i="18"/>
  <c r="H37" i="18"/>
  <c r="G37" i="18"/>
  <c r="F37" i="18"/>
  <c r="E37" i="18"/>
  <c r="D37" i="18"/>
  <c r="C37" i="18"/>
  <c r="AD36" i="18"/>
  <c r="AC36" i="18"/>
  <c r="AB36" i="18"/>
  <c r="AA36" i="18"/>
  <c r="Z36" i="18"/>
  <c r="Y36" i="18"/>
  <c r="X36" i="18"/>
  <c r="W36" i="18"/>
  <c r="V36" i="18"/>
  <c r="U36" i="18"/>
  <c r="T36" i="18"/>
  <c r="S36" i="18"/>
  <c r="R36" i="18"/>
  <c r="Q36" i="18"/>
  <c r="P36" i="18"/>
  <c r="O36" i="18"/>
  <c r="N36" i="18"/>
  <c r="M36" i="18"/>
  <c r="L36" i="18"/>
  <c r="K36" i="18"/>
  <c r="J36" i="18"/>
  <c r="I36" i="18"/>
  <c r="H36" i="18"/>
  <c r="G36" i="18"/>
  <c r="F36" i="18"/>
  <c r="E36" i="18"/>
  <c r="D36" i="18"/>
  <c r="C36" i="18"/>
  <c r="AD35" i="18"/>
  <c r="AC35" i="18"/>
  <c r="AB35" i="18"/>
  <c r="AA35" i="18"/>
  <c r="Z35" i="18"/>
  <c r="Y35" i="18"/>
  <c r="X35" i="18"/>
  <c r="W35" i="18"/>
  <c r="V35" i="18"/>
  <c r="U35" i="18"/>
  <c r="T35" i="18"/>
  <c r="S35" i="18"/>
  <c r="R35" i="18"/>
  <c r="Q35" i="18"/>
  <c r="P35" i="18"/>
  <c r="O35" i="18"/>
  <c r="N35" i="18"/>
  <c r="M35" i="18"/>
  <c r="L35" i="18"/>
  <c r="K35" i="18"/>
  <c r="J35" i="18"/>
  <c r="I35" i="18"/>
  <c r="H35" i="18"/>
  <c r="G35" i="18"/>
  <c r="F35" i="18"/>
  <c r="E35" i="18"/>
  <c r="D35" i="18"/>
  <c r="C35" i="18"/>
  <c r="AD34" i="18"/>
  <c r="AC34" i="18"/>
  <c r="AB34" i="18"/>
  <c r="AA34" i="18"/>
  <c r="Z34" i="18"/>
  <c r="Y34" i="18"/>
  <c r="X34" i="18"/>
  <c r="W34" i="18"/>
  <c r="V34" i="18"/>
  <c r="U34" i="18"/>
  <c r="T34" i="18"/>
  <c r="S34" i="18"/>
  <c r="R34" i="18"/>
  <c r="Q34" i="18"/>
  <c r="P34" i="18"/>
  <c r="O34" i="18"/>
  <c r="N34" i="18"/>
  <c r="M34" i="18"/>
  <c r="L34" i="18"/>
  <c r="K34" i="18"/>
  <c r="J34" i="18"/>
  <c r="I34" i="18"/>
  <c r="H34" i="18"/>
  <c r="G34" i="18"/>
  <c r="F34" i="18"/>
  <c r="E34" i="18"/>
  <c r="D34" i="18"/>
  <c r="C34" i="18"/>
  <c r="AD33" i="18"/>
  <c r="AC33" i="18"/>
  <c r="AB33" i="18"/>
  <c r="AA33" i="18"/>
  <c r="Z33" i="18"/>
  <c r="Y33" i="18"/>
  <c r="X33" i="18"/>
  <c r="W33" i="18"/>
  <c r="V33" i="18"/>
  <c r="U33" i="18"/>
  <c r="T33" i="18"/>
  <c r="S33" i="18"/>
  <c r="R33" i="18"/>
  <c r="Q33" i="18"/>
  <c r="P33" i="18"/>
  <c r="O33" i="18"/>
  <c r="N33" i="18"/>
  <c r="M33" i="18"/>
  <c r="L33" i="18"/>
  <c r="K33" i="18"/>
  <c r="J33" i="18"/>
  <c r="I33" i="18"/>
  <c r="H33" i="18"/>
  <c r="G33" i="18"/>
  <c r="F33" i="18"/>
  <c r="E33" i="18"/>
  <c r="D33" i="18"/>
  <c r="C33" i="18"/>
  <c r="AD30" i="18"/>
  <c r="AC30" i="18"/>
  <c r="AB30" i="18"/>
  <c r="AA30" i="18"/>
  <c r="Z30" i="18"/>
  <c r="Y30" i="18"/>
  <c r="X30" i="18"/>
  <c r="W30" i="18"/>
  <c r="V30" i="18"/>
  <c r="U30" i="18"/>
  <c r="T30" i="18"/>
  <c r="S30" i="18"/>
  <c r="R30" i="18"/>
  <c r="Q30" i="18"/>
  <c r="P30" i="18"/>
  <c r="O30" i="18"/>
  <c r="N30" i="18"/>
  <c r="M30" i="18"/>
  <c r="L30" i="18"/>
  <c r="K30" i="18"/>
  <c r="J30" i="18"/>
  <c r="I30" i="18"/>
  <c r="H30" i="18"/>
  <c r="G30" i="18"/>
  <c r="F30" i="18"/>
  <c r="E30" i="18"/>
  <c r="D30" i="18"/>
  <c r="C30" i="18"/>
  <c r="AD29" i="18"/>
  <c r="AC29" i="18"/>
  <c r="AB29" i="18"/>
  <c r="AA29" i="18"/>
  <c r="Z29" i="18"/>
  <c r="Y29" i="18"/>
  <c r="X29" i="18"/>
  <c r="W29" i="18"/>
  <c r="V29" i="18"/>
  <c r="U29" i="18"/>
  <c r="T29" i="18"/>
  <c r="S29" i="18"/>
  <c r="R29" i="18"/>
  <c r="Q29" i="18"/>
  <c r="P29" i="18"/>
  <c r="O29" i="18"/>
  <c r="N29" i="18"/>
  <c r="M29" i="18"/>
  <c r="L29" i="18"/>
  <c r="K29" i="18"/>
  <c r="J29" i="18"/>
  <c r="I29" i="18"/>
  <c r="H29" i="18"/>
  <c r="G29" i="18"/>
  <c r="F29" i="18"/>
  <c r="E29" i="18"/>
  <c r="D29" i="18"/>
  <c r="C29" i="18"/>
  <c r="AD28" i="18"/>
  <c r="AC28" i="18"/>
  <c r="AB28" i="18"/>
  <c r="AA28" i="18"/>
  <c r="Z28" i="18"/>
  <c r="Y28" i="18"/>
  <c r="X28" i="18"/>
  <c r="W28" i="18"/>
  <c r="V28" i="18"/>
  <c r="U28" i="18"/>
  <c r="T28" i="18"/>
  <c r="S28" i="18"/>
  <c r="R28" i="18"/>
  <c r="Q28" i="18"/>
  <c r="P28" i="18"/>
  <c r="O28" i="18"/>
  <c r="N28" i="18"/>
  <c r="M28" i="18"/>
  <c r="L28" i="18"/>
  <c r="K28" i="18"/>
  <c r="J28" i="18"/>
  <c r="I28" i="18"/>
  <c r="H28" i="18"/>
  <c r="G28" i="18"/>
  <c r="F28" i="18"/>
  <c r="E28" i="18"/>
  <c r="D28" i="18"/>
  <c r="C28" i="18"/>
  <c r="AD27" i="18"/>
  <c r="AC27" i="18"/>
  <c r="AB27" i="18"/>
  <c r="AA27" i="18"/>
  <c r="Z27" i="18"/>
  <c r="Y27" i="18"/>
  <c r="X27" i="18"/>
  <c r="W27" i="18"/>
  <c r="V27" i="18"/>
  <c r="U27" i="18"/>
  <c r="T27" i="18"/>
  <c r="S27" i="18"/>
  <c r="R27" i="18"/>
  <c r="Q27" i="18"/>
  <c r="P27" i="18"/>
  <c r="O27" i="18"/>
  <c r="N27" i="18"/>
  <c r="M27" i="18"/>
  <c r="L27" i="18"/>
  <c r="K27" i="18"/>
  <c r="J27" i="18"/>
  <c r="I27" i="18"/>
  <c r="H27" i="18"/>
  <c r="G27" i="18"/>
  <c r="F27" i="18"/>
  <c r="E27" i="18"/>
  <c r="D27" i="18"/>
  <c r="C27" i="18"/>
  <c r="AD26" i="18"/>
  <c r="AC26" i="18"/>
  <c r="AB26" i="18"/>
  <c r="AA26" i="18"/>
  <c r="Z26" i="18"/>
  <c r="Y26" i="18"/>
  <c r="X26" i="18"/>
  <c r="W26" i="18"/>
  <c r="V26" i="18"/>
  <c r="U26" i="18"/>
  <c r="T26" i="18"/>
  <c r="S26" i="18"/>
  <c r="R26" i="18"/>
  <c r="Q26" i="18"/>
  <c r="P26" i="18"/>
  <c r="O26" i="18"/>
  <c r="N26" i="18"/>
  <c r="M26" i="18"/>
  <c r="L26" i="18"/>
  <c r="K26" i="18"/>
  <c r="J26" i="18"/>
  <c r="I26" i="18"/>
  <c r="H26" i="18"/>
  <c r="G26" i="18"/>
  <c r="F26" i="18"/>
  <c r="E26" i="18"/>
  <c r="D26" i="18"/>
  <c r="C26" i="18"/>
  <c r="AD25" i="18"/>
  <c r="AC25" i="18"/>
  <c r="AB25" i="18"/>
  <c r="AA25" i="18"/>
  <c r="Z25" i="18"/>
  <c r="Y25" i="18"/>
  <c r="X25" i="18"/>
  <c r="W25" i="18"/>
  <c r="V25" i="18"/>
  <c r="U25" i="18"/>
  <c r="T25" i="18"/>
  <c r="S25" i="18"/>
  <c r="R25" i="18"/>
  <c r="Q25" i="18"/>
  <c r="P25" i="18"/>
  <c r="O25" i="18"/>
  <c r="N25" i="18"/>
  <c r="M25" i="18"/>
  <c r="L25" i="18"/>
  <c r="K25" i="18"/>
  <c r="J25" i="18"/>
  <c r="I25" i="18"/>
  <c r="H25" i="18"/>
  <c r="G25" i="18"/>
  <c r="F25" i="18"/>
  <c r="E25" i="18"/>
  <c r="D25" i="18"/>
  <c r="C25" i="18"/>
  <c r="AD22" i="18"/>
  <c r="AC22" i="18"/>
  <c r="AB22" i="18"/>
  <c r="AA22" i="18"/>
  <c r="Z22" i="18"/>
  <c r="Y22" i="18"/>
  <c r="X22" i="18"/>
  <c r="W22" i="18"/>
  <c r="V22" i="18"/>
  <c r="U22" i="18"/>
  <c r="T22" i="18"/>
  <c r="S22" i="18"/>
  <c r="R22" i="18"/>
  <c r="Q22" i="18"/>
  <c r="P22" i="18"/>
  <c r="O22" i="18"/>
  <c r="N22" i="18"/>
  <c r="M22" i="18"/>
  <c r="L22" i="18"/>
  <c r="K22" i="18"/>
  <c r="J22" i="18"/>
  <c r="I22" i="18"/>
  <c r="H22" i="18"/>
  <c r="G22" i="18"/>
  <c r="F22" i="18"/>
  <c r="E22" i="18"/>
  <c r="D22" i="18"/>
  <c r="C22" i="18"/>
  <c r="AD21" i="18"/>
  <c r="AC21" i="18"/>
  <c r="AB21" i="18"/>
  <c r="AA21" i="18"/>
  <c r="Z21" i="18"/>
  <c r="Y21" i="18"/>
  <c r="X21" i="18"/>
  <c r="W21" i="18"/>
  <c r="V21" i="18"/>
  <c r="U21" i="18"/>
  <c r="T21" i="18"/>
  <c r="S21" i="18"/>
  <c r="R21" i="18"/>
  <c r="Q21" i="18"/>
  <c r="P21" i="18"/>
  <c r="O21" i="18"/>
  <c r="N21" i="18"/>
  <c r="M21" i="18"/>
  <c r="L21" i="18"/>
  <c r="K21" i="18"/>
  <c r="J21" i="18"/>
  <c r="I21" i="18"/>
  <c r="H21" i="18"/>
  <c r="G21" i="18"/>
  <c r="F21" i="18"/>
  <c r="E21" i="18"/>
  <c r="D21" i="18"/>
  <c r="C21"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D19" i="18"/>
  <c r="AC19" i="18"/>
  <c r="AB19" i="18"/>
  <c r="AA19" i="18"/>
  <c r="Z19" i="18"/>
  <c r="Y19" i="18"/>
  <c r="X19" i="18"/>
  <c r="W19" i="18"/>
  <c r="V19" i="18"/>
  <c r="U19" i="18"/>
  <c r="T19" i="18"/>
  <c r="S19" i="18"/>
  <c r="R19" i="18"/>
  <c r="Q19" i="18"/>
  <c r="P19" i="18"/>
  <c r="O19" i="18"/>
  <c r="N19" i="18"/>
  <c r="M19" i="18"/>
  <c r="L19" i="18"/>
  <c r="K19" i="18"/>
  <c r="J19" i="18"/>
  <c r="I19" i="18"/>
  <c r="H19" i="18"/>
  <c r="G19" i="18"/>
  <c r="F19" i="18"/>
  <c r="E19" i="18"/>
  <c r="D19" i="18"/>
  <c r="C19" i="18"/>
  <c r="AD18" i="18"/>
  <c r="AC18" i="18"/>
  <c r="AB18" i="18"/>
  <c r="AA18" i="18"/>
  <c r="Z18" i="18"/>
  <c r="Y18" i="18"/>
  <c r="X18" i="18"/>
  <c r="W18" i="18"/>
  <c r="V18" i="18"/>
  <c r="U18" i="18"/>
  <c r="T18" i="18"/>
  <c r="S18" i="18"/>
  <c r="R18" i="18"/>
  <c r="Q18" i="18"/>
  <c r="P18" i="18"/>
  <c r="O18" i="18"/>
  <c r="N18" i="18"/>
  <c r="M18" i="18"/>
  <c r="L18" i="18"/>
  <c r="K18" i="18"/>
  <c r="J18" i="18"/>
  <c r="I18" i="18"/>
  <c r="H18" i="18"/>
  <c r="G18" i="18"/>
  <c r="F18" i="18"/>
  <c r="E18" i="18"/>
  <c r="D18" i="18"/>
  <c r="C18" i="18"/>
  <c r="AD17" i="18"/>
  <c r="AC17" i="18"/>
  <c r="AB17" i="18"/>
  <c r="AA17" i="18"/>
  <c r="Z17" i="18"/>
  <c r="Y17" i="18"/>
  <c r="X17" i="18"/>
  <c r="W17" i="18"/>
  <c r="V17" i="18"/>
  <c r="U17" i="18"/>
  <c r="T17" i="18"/>
  <c r="S17" i="18"/>
  <c r="R17" i="18"/>
  <c r="Q17" i="18"/>
  <c r="P17" i="18"/>
  <c r="O17" i="18"/>
  <c r="N17" i="18"/>
  <c r="M17" i="18"/>
  <c r="L17" i="18"/>
  <c r="K17" i="18"/>
  <c r="J17" i="18"/>
  <c r="I17" i="18"/>
  <c r="H17" i="18"/>
  <c r="G17" i="18"/>
  <c r="F17" i="18"/>
  <c r="E17" i="18"/>
  <c r="D17" i="18"/>
  <c r="C17" i="18"/>
  <c r="AD14" i="18"/>
  <c r="AC14" i="18"/>
  <c r="AB14" i="18"/>
  <c r="AA14" i="18"/>
  <c r="Z14" i="18"/>
  <c r="Y14" i="18"/>
  <c r="X14" i="18"/>
  <c r="W14" i="18"/>
  <c r="V14" i="18"/>
  <c r="U14" i="18"/>
  <c r="T14" i="18"/>
  <c r="S14" i="18"/>
  <c r="R14" i="18"/>
  <c r="Q14" i="18"/>
  <c r="P14" i="18"/>
  <c r="O14" i="18"/>
  <c r="N14" i="18"/>
  <c r="M14" i="18"/>
  <c r="L14" i="18"/>
  <c r="K14" i="18"/>
  <c r="J14" i="18"/>
  <c r="I14" i="18"/>
  <c r="H14" i="18"/>
  <c r="G14" i="18"/>
  <c r="F14" i="18"/>
  <c r="E14" i="18"/>
  <c r="D14" i="18"/>
  <c r="C14" i="18"/>
  <c r="AD13" i="18"/>
  <c r="AC13" i="18"/>
  <c r="AB13" i="18"/>
  <c r="AA13" i="18"/>
  <c r="Z13" i="18"/>
  <c r="Y13" i="18"/>
  <c r="X13" i="18"/>
  <c r="W13" i="18"/>
  <c r="V13" i="18"/>
  <c r="U13" i="18"/>
  <c r="T13" i="18"/>
  <c r="S13" i="18"/>
  <c r="R13" i="18"/>
  <c r="Q13" i="18"/>
  <c r="P13" i="18"/>
  <c r="O13" i="18"/>
  <c r="N13" i="18"/>
  <c r="M13" i="18"/>
  <c r="L13" i="18"/>
  <c r="K13" i="18"/>
  <c r="J13" i="18"/>
  <c r="I13" i="18"/>
  <c r="H13" i="18"/>
  <c r="G13" i="18"/>
  <c r="F13" i="18"/>
  <c r="E13" i="18"/>
  <c r="D13" i="18"/>
  <c r="C13" i="18"/>
  <c r="AD12" i="18"/>
  <c r="AC12" i="18"/>
  <c r="AB12" i="18"/>
  <c r="AA12" i="18"/>
  <c r="Z12" i="18"/>
  <c r="Y12" i="18"/>
  <c r="X12" i="18"/>
  <c r="W12" i="18"/>
  <c r="V12" i="18"/>
  <c r="U12" i="18"/>
  <c r="T12" i="18"/>
  <c r="S12" i="18"/>
  <c r="R12" i="18"/>
  <c r="Q12" i="18"/>
  <c r="P12" i="18"/>
  <c r="O12" i="18"/>
  <c r="N12" i="18"/>
  <c r="M12" i="18"/>
  <c r="L12" i="18"/>
  <c r="K12" i="18"/>
  <c r="J12" i="18"/>
  <c r="I12" i="18"/>
  <c r="H12" i="18"/>
  <c r="G12" i="18"/>
  <c r="F12" i="18"/>
  <c r="E12" i="18"/>
  <c r="D12" i="18"/>
  <c r="C12" i="18"/>
  <c r="AD11" i="18"/>
  <c r="AC11" i="18"/>
  <c r="AB11" i="18"/>
  <c r="AA11" i="18"/>
  <c r="Z11" i="18"/>
  <c r="Y11" i="18"/>
  <c r="X11" i="18"/>
  <c r="W11" i="18"/>
  <c r="V11" i="18"/>
  <c r="U11" i="18"/>
  <c r="T11" i="18"/>
  <c r="S11" i="18"/>
  <c r="R11" i="18"/>
  <c r="Q11" i="18"/>
  <c r="P11" i="18"/>
  <c r="O11" i="18"/>
  <c r="N11" i="18"/>
  <c r="M11" i="18"/>
  <c r="L11" i="18"/>
  <c r="K11" i="18"/>
  <c r="J11" i="18"/>
  <c r="I11" i="18"/>
  <c r="H11" i="18"/>
  <c r="G11" i="18"/>
  <c r="F11" i="18"/>
  <c r="E11" i="18"/>
  <c r="D11" i="18"/>
  <c r="C11"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AD6" i="18"/>
  <c r="AC6" i="18"/>
  <c r="AB6" i="18"/>
  <c r="AA6" i="18"/>
  <c r="Z6" i="18"/>
  <c r="Y6" i="18"/>
  <c r="X6" i="18"/>
  <c r="W6" i="18"/>
  <c r="V6" i="18"/>
  <c r="U6" i="18"/>
  <c r="T6" i="18"/>
  <c r="S6" i="18"/>
  <c r="R6" i="18"/>
  <c r="Q6" i="18"/>
  <c r="P6" i="18"/>
  <c r="O6" i="18"/>
  <c r="N6" i="18"/>
  <c r="M6" i="18"/>
  <c r="L6" i="18"/>
  <c r="K6" i="18"/>
  <c r="J6" i="18"/>
  <c r="I6" i="18"/>
  <c r="H6" i="18"/>
  <c r="G6" i="18"/>
  <c r="F6" i="18"/>
  <c r="E6" i="18"/>
  <c r="D6" i="18"/>
  <c r="C6" i="18"/>
  <c r="AD5" i="18"/>
  <c r="AC5" i="18"/>
  <c r="AB5" i="18"/>
  <c r="AA5" i="18"/>
  <c r="Z5" i="18"/>
  <c r="Y5" i="18"/>
  <c r="X5" i="18"/>
  <c r="W5" i="18"/>
  <c r="V5" i="18"/>
  <c r="U5" i="18"/>
  <c r="T5" i="18"/>
  <c r="S5" i="18"/>
  <c r="R5" i="18"/>
  <c r="Q5" i="18"/>
  <c r="P5" i="18"/>
  <c r="O5" i="18"/>
  <c r="N5" i="18"/>
  <c r="M5" i="18"/>
  <c r="L5" i="18"/>
  <c r="K5" i="18"/>
  <c r="J5" i="18"/>
  <c r="I5" i="18"/>
  <c r="H5" i="18"/>
  <c r="G5" i="18"/>
  <c r="F5" i="18"/>
  <c r="E5" i="18"/>
  <c r="D5" i="18"/>
  <c r="C5" i="18"/>
  <c r="AD46" i="18"/>
  <c r="AC46" i="18"/>
  <c r="AB46" i="18"/>
  <c r="AA46" i="18"/>
  <c r="Z46" i="18"/>
  <c r="Y46" i="18"/>
  <c r="X46" i="18"/>
  <c r="W46" i="18"/>
  <c r="V46" i="18"/>
  <c r="U46" i="18"/>
  <c r="T46" i="18"/>
  <c r="S46" i="18"/>
  <c r="R46" i="18"/>
  <c r="Q46" i="18"/>
  <c r="P46" i="18"/>
  <c r="O46" i="18"/>
  <c r="N46" i="18"/>
  <c r="M46" i="18"/>
  <c r="L46" i="18"/>
  <c r="K46" i="18"/>
  <c r="J46" i="18"/>
  <c r="I46" i="18"/>
  <c r="H46" i="18"/>
  <c r="G46" i="18"/>
  <c r="F46" i="18"/>
  <c r="E46" i="18"/>
  <c r="D46" i="18"/>
  <c r="C46" i="18"/>
  <c r="AL5" i="18"/>
  <c r="AL4" i="18"/>
  <c r="AJ5" i="18"/>
  <c r="AJ4" i="18"/>
  <c r="AD43" i="19" l="1"/>
  <c r="AD44" i="19" s="1"/>
  <c r="AD47" i="19" s="1"/>
  <c r="AD49" i="19" s="1"/>
  <c r="AD50" i="19" s="1"/>
  <c r="AD52" i="19" s="1"/>
  <c r="AD43" i="18"/>
  <c r="AD44" i="18" s="1"/>
  <c r="AD47" i="18" s="1"/>
  <c r="AD49" i="18" s="1"/>
  <c r="AD50" i="18" s="1"/>
  <c r="AD52" i="18" s="1"/>
  <c r="AY7" i="22"/>
  <c r="AY6" i="22"/>
  <c r="AK4" i="18"/>
  <c r="C13" i="20"/>
  <c r="AK5" i="18"/>
  <c r="D13" i="20"/>
  <c r="AK4" i="19"/>
  <c r="AK5" i="19"/>
  <c r="G13" i="20"/>
  <c r="B32" i="19" l="1"/>
  <c r="B16" i="19" s="1"/>
  <c r="B32" i="18"/>
  <c r="B16" i="18" s="1"/>
  <c r="B21" i="18" s="1"/>
  <c r="AY8" i="22"/>
  <c r="AY9" i="22"/>
  <c r="Y30" i="22"/>
  <c r="Y17" i="22" s="1"/>
  <c r="J30" i="22" s="1"/>
  <c r="AY4" i="21"/>
  <c r="AY3" i="21"/>
  <c r="B24" i="19" l="1"/>
  <c r="B10" i="19" s="1"/>
  <c r="B36" i="18"/>
  <c r="B39" i="18"/>
  <c r="B40" i="18"/>
  <c r="B24" i="18"/>
  <c r="B10" i="18" s="1"/>
  <c r="B14" i="18" s="1"/>
  <c r="B37" i="18"/>
  <c r="B41" i="18"/>
  <c r="AC43" i="18" s="1"/>
  <c r="AC44" i="18" s="1"/>
  <c r="AC47" i="18" s="1"/>
  <c r="AC49" i="18" s="1"/>
  <c r="AC50" i="18" s="1"/>
  <c r="AC52" i="18" s="1"/>
  <c r="B34" i="18"/>
  <c r="B35" i="18"/>
  <c r="B33" i="18"/>
  <c r="B38" i="18"/>
  <c r="Y4" i="22"/>
  <c r="Y30" i="21"/>
  <c r="Y17" i="21" s="1"/>
  <c r="J30" i="21" s="1"/>
  <c r="B39" i="19"/>
  <c r="B41" i="19"/>
  <c r="B34" i="19"/>
  <c r="B38" i="19"/>
  <c r="B40" i="19"/>
  <c r="B36" i="19"/>
  <c r="B33" i="19"/>
  <c r="B35" i="19"/>
  <c r="B37" i="19"/>
  <c r="AY6" i="21"/>
  <c r="AY7" i="21"/>
  <c r="AN30" i="22"/>
  <c r="AY8" i="21"/>
  <c r="AY9" i="21"/>
  <c r="AN30" i="21"/>
  <c r="AC43" i="19"/>
  <c r="AB43" i="19"/>
  <c r="B20" i="18"/>
  <c r="B22" i="18"/>
  <c r="B17" i="18"/>
  <c r="B18" i="18"/>
  <c r="B19" i="18"/>
  <c r="B4" i="19" l="1"/>
  <c r="X43" i="19"/>
  <c r="X44" i="19" s="1"/>
  <c r="X47" i="19" s="1"/>
  <c r="X49" i="19" s="1"/>
  <c r="X50" i="19" s="1"/>
  <c r="X52" i="19" s="1"/>
  <c r="Y43" i="19"/>
  <c r="Y44" i="19" s="1"/>
  <c r="Y47" i="19" s="1"/>
  <c r="Y49" i="19" s="1"/>
  <c r="Y50" i="19" s="1"/>
  <c r="Y52" i="19" s="1"/>
  <c r="AA43" i="18"/>
  <c r="AA44" i="18" s="1"/>
  <c r="AA47" i="18" s="1"/>
  <c r="AA49" i="18" s="1"/>
  <c r="AA50" i="18" s="1"/>
  <c r="AA52" i="18" s="1"/>
  <c r="B4" i="18"/>
  <c r="B7" i="18" s="1"/>
  <c r="Z43" i="19"/>
  <c r="Z44" i="19" s="1"/>
  <c r="Z47" i="19" s="1"/>
  <c r="Z49" i="19" s="1"/>
  <c r="Z50" i="19" s="1"/>
  <c r="Z52" i="19" s="1"/>
  <c r="AA43" i="19"/>
  <c r="AA44" i="19" s="1"/>
  <c r="AA47" i="19" s="1"/>
  <c r="AA49" i="19" s="1"/>
  <c r="AA50" i="19" s="1"/>
  <c r="AA52" i="19" s="1"/>
  <c r="Y43" i="18"/>
  <c r="Y44" i="18" s="1"/>
  <c r="Y47" i="18" s="1"/>
  <c r="Y49" i="18" s="1"/>
  <c r="Y50" i="18" s="1"/>
  <c r="Y52" i="18" s="1"/>
  <c r="AB43" i="18"/>
  <c r="AB44" i="18" s="1"/>
  <c r="AB47" i="18" s="1"/>
  <c r="AB49" i="18" s="1"/>
  <c r="AB50" i="18" s="1"/>
  <c r="AB52" i="18" s="1"/>
  <c r="X43" i="18"/>
  <c r="X44" i="18" s="1"/>
  <c r="X47" i="18" s="1"/>
  <c r="X49" i="18" s="1"/>
  <c r="X50" i="18" s="1"/>
  <c r="X52" i="18" s="1"/>
  <c r="Z43" i="18"/>
  <c r="Z44" i="18" s="1"/>
  <c r="Z47" i="18" s="1"/>
  <c r="Z49" i="18" s="1"/>
  <c r="Z50" i="18" s="1"/>
  <c r="Z52" i="18" s="1"/>
  <c r="B27" i="18"/>
  <c r="B25" i="18"/>
  <c r="B26" i="18"/>
  <c r="B28" i="18"/>
  <c r="B30" i="18"/>
  <c r="W43" i="18" s="1"/>
  <c r="W44" i="18" s="1"/>
  <c r="W47" i="18" s="1"/>
  <c r="W49" i="18" s="1"/>
  <c r="W50" i="18" s="1"/>
  <c r="W52" i="18" s="1"/>
  <c r="B29" i="18"/>
  <c r="J17" i="22"/>
  <c r="J4" i="22"/>
  <c r="J43" i="22"/>
  <c r="Y4" i="21"/>
  <c r="Y7" i="21" s="1"/>
  <c r="Y22" i="22"/>
  <c r="Y20" i="22"/>
  <c r="Y21" i="22"/>
  <c r="Y19" i="22"/>
  <c r="Y24" i="22"/>
  <c r="Y23" i="22"/>
  <c r="AN17" i="22"/>
  <c r="AN36" i="22"/>
  <c r="AN35" i="22"/>
  <c r="AN32" i="22"/>
  <c r="AN34" i="22"/>
  <c r="AN37" i="22"/>
  <c r="AN33" i="22"/>
  <c r="Y33" i="22"/>
  <c r="Y36" i="22"/>
  <c r="Y40" i="22"/>
  <c r="Y35" i="22"/>
  <c r="Y39" i="22"/>
  <c r="Y32" i="22"/>
  <c r="Y38" i="22"/>
  <c r="Y34" i="22"/>
  <c r="Y37" i="22"/>
  <c r="AN4" i="22"/>
  <c r="B30" i="19"/>
  <c r="B28" i="19"/>
  <c r="B25" i="19"/>
  <c r="B29" i="19"/>
  <c r="B26" i="19"/>
  <c r="B27" i="19"/>
  <c r="B22" i="19"/>
  <c r="B17" i="19"/>
  <c r="B21" i="19"/>
  <c r="B20" i="19"/>
  <c r="B19" i="19"/>
  <c r="B18" i="19"/>
  <c r="B11" i="18"/>
  <c r="AN17" i="21"/>
  <c r="AN33" i="21"/>
  <c r="AN35" i="21"/>
  <c r="AN34" i="21"/>
  <c r="AN37" i="21"/>
  <c r="AN36" i="21"/>
  <c r="AN32" i="21"/>
  <c r="AN4" i="21"/>
  <c r="Y35" i="21"/>
  <c r="Y38" i="21"/>
  <c r="Y37" i="21"/>
  <c r="Y34" i="21"/>
  <c r="Y40" i="21"/>
  <c r="Y36" i="21"/>
  <c r="Y39" i="21"/>
  <c r="Y33" i="21"/>
  <c r="Y32" i="21"/>
  <c r="B13" i="18"/>
  <c r="AB44" i="19"/>
  <c r="AB47" i="19" s="1"/>
  <c r="AB49" i="19" s="1"/>
  <c r="AB50" i="19" s="1"/>
  <c r="AB52" i="19" s="1"/>
  <c r="AC44" i="19"/>
  <c r="AC47" i="19" s="1"/>
  <c r="AC49" i="19" s="1"/>
  <c r="AC50" i="19" s="1"/>
  <c r="AC52" i="19" s="1"/>
  <c r="B12" i="18"/>
  <c r="V43" i="18" l="1"/>
  <c r="V44" i="18" s="1"/>
  <c r="V47" i="18" s="1"/>
  <c r="V49" i="18" s="1"/>
  <c r="V50" i="18" s="1"/>
  <c r="V52" i="18" s="1"/>
  <c r="B6" i="18"/>
  <c r="B8" i="18"/>
  <c r="B5" i="18"/>
  <c r="M43" i="18"/>
  <c r="M44" i="18" s="1"/>
  <c r="M47" i="18" s="1"/>
  <c r="M49" i="18" s="1"/>
  <c r="M50" i="18" s="1"/>
  <c r="M52" i="18" s="1"/>
  <c r="S43" i="18"/>
  <c r="S44" i="18" s="1"/>
  <c r="S47" i="18" s="1"/>
  <c r="S49" i="18" s="1"/>
  <c r="S50" i="18" s="1"/>
  <c r="S52" i="18" s="1"/>
  <c r="U43" i="18"/>
  <c r="U44" i="18" s="1"/>
  <c r="U47" i="18" s="1"/>
  <c r="U49" i="18" s="1"/>
  <c r="U50" i="18" s="1"/>
  <c r="U52" i="18" s="1"/>
  <c r="P43" i="18"/>
  <c r="P44" i="18" s="1"/>
  <c r="P47" i="18" s="1"/>
  <c r="P49" i="18" s="1"/>
  <c r="P50" i="18" s="1"/>
  <c r="P52" i="18" s="1"/>
  <c r="N43" i="18"/>
  <c r="N44" i="18" s="1"/>
  <c r="N47" i="18" s="1"/>
  <c r="N49" i="18" s="1"/>
  <c r="N50" i="18" s="1"/>
  <c r="N52" i="18" s="1"/>
  <c r="R43" i="18"/>
  <c r="R44" i="18" s="1"/>
  <c r="R47" i="18" s="1"/>
  <c r="R49" i="18" s="1"/>
  <c r="R50" i="18" s="1"/>
  <c r="R52" i="18" s="1"/>
  <c r="T43" i="18"/>
  <c r="T44" i="18" s="1"/>
  <c r="T47" i="18" s="1"/>
  <c r="T49" i="18" s="1"/>
  <c r="T50" i="18" s="1"/>
  <c r="T52" i="18" s="1"/>
  <c r="Q43" i="18"/>
  <c r="Q44" i="18" s="1"/>
  <c r="Q47" i="18" s="1"/>
  <c r="Q49" i="18" s="1"/>
  <c r="Q50" i="18" s="1"/>
  <c r="Q52" i="18" s="1"/>
  <c r="L43" i="18"/>
  <c r="L44" i="18" s="1"/>
  <c r="L47" i="18" s="1"/>
  <c r="L49" i="18" s="1"/>
  <c r="L50" i="18" s="1"/>
  <c r="L52" i="18" s="1"/>
  <c r="O43" i="18"/>
  <c r="O44" i="18" s="1"/>
  <c r="O47" i="18" s="1"/>
  <c r="O49" i="18" s="1"/>
  <c r="O50" i="18" s="1"/>
  <c r="O52" i="18" s="1"/>
  <c r="K43" i="18"/>
  <c r="K44" i="18" s="1"/>
  <c r="K47" i="18" s="1"/>
  <c r="K49" i="18" s="1"/>
  <c r="K50" i="18" s="1"/>
  <c r="K52" i="18" s="1"/>
  <c r="Y11" i="21"/>
  <c r="J17" i="21"/>
  <c r="J4" i="21"/>
  <c r="J9" i="21" s="1"/>
  <c r="Y6" i="21"/>
  <c r="Y8" i="21"/>
  <c r="Y9" i="21"/>
  <c r="J43" i="21"/>
  <c r="J46" i="21" s="1"/>
  <c r="Y10" i="21"/>
  <c r="AG17" i="22"/>
  <c r="AG19" i="22" s="1"/>
  <c r="AG4" i="22"/>
  <c r="AG7" i="22" s="1"/>
  <c r="Y10" i="22"/>
  <c r="Y6" i="22"/>
  <c r="Y9" i="22"/>
  <c r="Y7" i="22"/>
  <c r="Y8" i="22"/>
  <c r="Y11" i="22"/>
  <c r="AG30" i="22"/>
  <c r="AN9" i="22"/>
  <c r="AN7" i="22"/>
  <c r="AN6" i="22"/>
  <c r="AN8" i="22"/>
  <c r="AN19" i="22"/>
  <c r="AN21" i="22"/>
  <c r="AN20" i="22"/>
  <c r="J33" i="22"/>
  <c r="J32" i="22"/>
  <c r="J34" i="22"/>
  <c r="Q43" i="19"/>
  <c r="Q44" i="19" s="1"/>
  <c r="Q47" i="19" s="1"/>
  <c r="Q49" i="19" s="1"/>
  <c r="Q50" i="19" s="1"/>
  <c r="Q52" i="19" s="1"/>
  <c r="O43" i="19"/>
  <c r="O44" i="19" s="1"/>
  <c r="O47" i="19" s="1"/>
  <c r="O49" i="19" s="1"/>
  <c r="O50" i="19" s="1"/>
  <c r="O52" i="19" s="1"/>
  <c r="P43" i="19"/>
  <c r="P44" i="19" s="1"/>
  <c r="P47" i="19" s="1"/>
  <c r="P49" i="19" s="1"/>
  <c r="P50" i="19" s="1"/>
  <c r="P52" i="19" s="1"/>
  <c r="N43" i="19"/>
  <c r="N44" i="19" s="1"/>
  <c r="N47" i="19" s="1"/>
  <c r="N49" i="19" s="1"/>
  <c r="N50" i="19" s="1"/>
  <c r="N52" i="19" s="1"/>
  <c r="V43" i="19"/>
  <c r="V44" i="19" s="1"/>
  <c r="V47" i="19" s="1"/>
  <c r="V49" i="19" s="1"/>
  <c r="V50" i="19" s="1"/>
  <c r="V52" i="19" s="1"/>
  <c r="U43" i="19"/>
  <c r="U44" i="19" s="1"/>
  <c r="U47" i="19" s="1"/>
  <c r="U49" i="19" s="1"/>
  <c r="U50" i="19" s="1"/>
  <c r="U52" i="19" s="1"/>
  <c r="T43" i="19"/>
  <c r="T44" i="19" s="1"/>
  <c r="T47" i="19" s="1"/>
  <c r="T49" i="19" s="1"/>
  <c r="T50" i="19" s="1"/>
  <c r="T52" i="19" s="1"/>
  <c r="B14" i="19"/>
  <c r="B12" i="19"/>
  <c r="B13" i="19"/>
  <c r="B11" i="19"/>
  <c r="R43" i="19"/>
  <c r="R44" i="19" s="1"/>
  <c r="R47" i="19" s="1"/>
  <c r="R49" i="19" s="1"/>
  <c r="R50" i="19" s="1"/>
  <c r="R52" i="19" s="1"/>
  <c r="S43" i="19"/>
  <c r="S44" i="19" s="1"/>
  <c r="S47" i="19" s="1"/>
  <c r="S49" i="19" s="1"/>
  <c r="S50" i="19" s="1"/>
  <c r="S52" i="19" s="1"/>
  <c r="W43" i="19"/>
  <c r="W44" i="19" s="1"/>
  <c r="W47" i="19" s="1"/>
  <c r="W49" i="19" s="1"/>
  <c r="W50" i="19" s="1"/>
  <c r="W52" i="19" s="1"/>
  <c r="AN19" i="21"/>
  <c r="AN20" i="21"/>
  <c r="AN21" i="21"/>
  <c r="Y21" i="21"/>
  <c r="Y20" i="21"/>
  <c r="Y19" i="21"/>
  <c r="Y24" i="21"/>
  <c r="Y23" i="21"/>
  <c r="Y22" i="21"/>
  <c r="B8" i="19"/>
  <c r="B7" i="19"/>
  <c r="B6" i="19"/>
  <c r="B5" i="19"/>
  <c r="AG30" i="21"/>
  <c r="AN8" i="21"/>
  <c r="AN9" i="21"/>
  <c r="AN7" i="21"/>
  <c r="AN6" i="21"/>
  <c r="AG4" i="21"/>
  <c r="AG17" i="21"/>
  <c r="L43" i="19"/>
  <c r="L44" i="19" s="1"/>
  <c r="L47" i="19" s="1"/>
  <c r="L49" i="19" s="1"/>
  <c r="L50" i="19" s="1"/>
  <c r="L52" i="19" s="1"/>
  <c r="K43" i="19"/>
  <c r="K44" i="19" s="1"/>
  <c r="K47" i="19" s="1"/>
  <c r="K49" i="19" s="1"/>
  <c r="K50" i="19" s="1"/>
  <c r="K52" i="19" s="1"/>
  <c r="M43" i="19"/>
  <c r="M44" i="19" s="1"/>
  <c r="M47" i="19" s="1"/>
  <c r="M49" i="19" s="1"/>
  <c r="M50" i="19" s="1"/>
  <c r="M52" i="19" s="1"/>
  <c r="C43" i="18" l="1" a="1"/>
  <c r="C43" i="18" s="1"/>
  <c r="C44" i="18" s="1"/>
  <c r="C47" i="18" s="1"/>
  <c r="C49" i="18" s="1"/>
  <c r="C50" i="18" s="1"/>
  <c r="C52" i="18" s="1"/>
  <c r="D43" i="18"/>
  <c r="D44" i="18" s="1"/>
  <c r="D47" i="18" s="1"/>
  <c r="D49" i="18" s="1"/>
  <c r="D50" i="18" s="1"/>
  <c r="D52" i="18" s="1"/>
  <c r="G43" i="18"/>
  <c r="G44" i="18" s="1"/>
  <c r="G47" i="18" s="1"/>
  <c r="G49" i="18" s="1"/>
  <c r="G50" i="18" s="1"/>
  <c r="G52" i="18" s="1"/>
  <c r="H43" i="18"/>
  <c r="H44" i="18" s="1"/>
  <c r="H47" i="18" s="1"/>
  <c r="H49" i="18" s="1"/>
  <c r="H50" i="18" s="1"/>
  <c r="H52" i="18" s="1"/>
  <c r="I43" i="18"/>
  <c r="I44" i="18" s="1"/>
  <c r="I47" i="18" s="1"/>
  <c r="I49" i="18" s="1"/>
  <c r="I50" i="18" s="1"/>
  <c r="I52" i="18" s="1"/>
  <c r="F43" i="18"/>
  <c r="F44" i="18" s="1"/>
  <c r="F47" i="18" s="1"/>
  <c r="F49" i="18" s="1"/>
  <c r="F50" i="18" s="1"/>
  <c r="F52" i="18" s="1"/>
  <c r="J43" i="18"/>
  <c r="J44" i="18" s="1"/>
  <c r="J47" i="18" s="1"/>
  <c r="J49" i="18" s="1"/>
  <c r="J50" i="18" s="1"/>
  <c r="J52" i="18" s="1"/>
  <c r="E43" i="18"/>
  <c r="E44" i="18" s="1"/>
  <c r="E47" i="18" s="1"/>
  <c r="E49" i="18" s="1"/>
  <c r="E50" i="18" s="1"/>
  <c r="E52" i="18" s="1"/>
  <c r="G43" i="19"/>
  <c r="G44" i="19" s="1"/>
  <c r="G47" i="19" s="1"/>
  <c r="G49" i="19" s="1"/>
  <c r="G50" i="19" s="1"/>
  <c r="G52" i="19" s="1"/>
  <c r="H43" i="19"/>
  <c r="H44" i="19" s="1"/>
  <c r="H47" i="19" s="1"/>
  <c r="H49" i="19" s="1"/>
  <c r="H50" i="19" s="1"/>
  <c r="H52" i="19" s="1"/>
  <c r="J47" i="21"/>
  <c r="AG20" i="22"/>
  <c r="J45" i="21"/>
  <c r="J7" i="21"/>
  <c r="J8" i="21"/>
  <c r="J6" i="21"/>
  <c r="J43" i="19"/>
  <c r="J44" i="19" s="1"/>
  <c r="J47" i="19" s="1"/>
  <c r="J49" i="19" s="1"/>
  <c r="J50" i="19" s="1"/>
  <c r="J52" i="19" s="1"/>
  <c r="F43" i="19"/>
  <c r="F44" i="19" s="1"/>
  <c r="F47" i="19" s="1"/>
  <c r="F49" i="19" s="1"/>
  <c r="F50" i="19" s="1"/>
  <c r="F52" i="19" s="1"/>
  <c r="AG6" i="22"/>
  <c r="AG32" i="22"/>
  <c r="AG33" i="22"/>
  <c r="J47" i="22"/>
  <c r="J46" i="22"/>
  <c r="J45" i="22"/>
  <c r="J22" i="22"/>
  <c r="J20" i="22"/>
  <c r="J21" i="22"/>
  <c r="J19" i="22"/>
  <c r="J6" i="22"/>
  <c r="J9" i="22"/>
  <c r="J8" i="22"/>
  <c r="J7" i="22"/>
  <c r="AG19" i="21"/>
  <c r="AG20" i="21"/>
  <c r="C43" i="19"/>
  <c r="C44" i="19" s="1"/>
  <c r="C47" i="19" s="1"/>
  <c r="C49" i="19" s="1"/>
  <c r="C50" i="19" s="1"/>
  <c r="C52" i="19" s="1"/>
  <c r="D43" i="19"/>
  <c r="D44" i="19" s="1"/>
  <c r="D47" i="19" s="1"/>
  <c r="D49" i="19" s="1"/>
  <c r="D50" i="19" s="1"/>
  <c r="D52" i="19" s="1"/>
  <c r="E43" i="19"/>
  <c r="E44" i="19" s="1"/>
  <c r="E47" i="19" s="1"/>
  <c r="E49" i="19" s="1"/>
  <c r="E50" i="19" s="1"/>
  <c r="E52" i="19" s="1"/>
  <c r="I43" i="19"/>
  <c r="I44" i="19" s="1"/>
  <c r="I47" i="19" s="1"/>
  <c r="I49" i="19" s="1"/>
  <c r="I50" i="19" s="1"/>
  <c r="I52" i="19" s="1"/>
  <c r="AG7" i="21"/>
  <c r="AG6" i="21"/>
  <c r="J33" i="21"/>
  <c r="J34" i="21"/>
  <c r="J32" i="21"/>
  <c r="AG32" i="21"/>
  <c r="AG33" i="21"/>
  <c r="J22" i="21"/>
  <c r="J19" i="21"/>
  <c r="J21" i="21"/>
  <c r="J20" i="21"/>
  <c r="F26" i="16" l="1" a="1"/>
  <c r="F26" i="16" s="1"/>
  <c r="G21" i="20" s="1"/>
  <c r="C26" i="16" a="1"/>
  <c r="C26" i="16" s="1"/>
  <c r="D36" i="16" s="1"/>
  <c r="O57" i="16" s="1"/>
  <c r="P57" i="16" s="1"/>
  <c r="D21" i="20" l="1"/>
  <c r="X21" i="21"/>
  <c r="O54" i="16"/>
  <c r="P54" i="16" s="1"/>
  <c r="O56" i="16"/>
  <c r="P56" i="16" s="1"/>
  <c r="O55" i="16"/>
  <c r="P55" i="16" s="1"/>
  <c r="O53" i="16"/>
  <c r="P53" i="16" s="1"/>
  <c r="X38" i="21"/>
  <c r="X9" i="21"/>
  <c r="X40" i="21"/>
  <c r="I9" i="21"/>
  <c r="I21" i="21"/>
  <c r="I6" i="21"/>
  <c r="X19" i="21"/>
  <c r="I19" i="21"/>
  <c r="I8" i="21"/>
  <c r="X36" i="21"/>
  <c r="X32" i="21"/>
  <c r="X35" i="21"/>
  <c r="X24" i="21"/>
  <c r="X11" i="21"/>
  <c r="X10" i="21"/>
  <c r="I22" i="21"/>
  <c r="X8" i="21"/>
  <c r="X33" i="21" l="1"/>
  <c r="X37" i="21"/>
  <c r="X22" i="21"/>
  <c r="I7" i="21"/>
  <c r="X34" i="21"/>
  <c r="X23" i="21"/>
  <c r="X6" i="21"/>
  <c r="X7" i="21"/>
  <c r="I20" i="21"/>
  <c r="X40" i="22"/>
  <c r="X10" i="22"/>
  <c r="X35" i="22"/>
  <c r="X33" i="22"/>
  <c r="I9" i="22"/>
  <c r="X22" i="22"/>
  <c r="X20" i="22"/>
  <c r="X39" i="22"/>
  <c r="X9" i="22"/>
  <c r="X6" i="22"/>
  <c r="I21" i="22"/>
  <c r="X32" i="22"/>
  <c r="X23" i="22"/>
  <c r="X21" i="22"/>
  <c r="X38" i="22"/>
  <c r="X8" i="22"/>
  <c r="X7" i="22"/>
  <c r="I22" i="22"/>
  <c r="I20" i="22"/>
  <c r="I19" i="22"/>
  <c r="I8" i="22"/>
  <c r="I6" i="22"/>
  <c r="X11" i="22"/>
  <c r="X37" i="22"/>
  <c r="X36" i="22"/>
  <c r="X24" i="22"/>
  <c r="I7" i="22"/>
  <c r="X19" i="22"/>
  <c r="X34" i="22"/>
  <c r="X20" i="21"/>
  <c r="X39" i="21"/>
  <c r="R57" i="16"/>
  <c r="S57" i="16" s="1"/>
  <c r="R56" i="16"/>
  <c r="S56" i="16" s="1"/>
  <c r="R53" i="16"/>
  <c r="S53" i="16" s="1"/>
  <c r="R55" i="16"/>
  <c r="S55" i="16" s="1"/>
  <c r="R54" i="16"/>
  <c r="T54" i="16" s="1"/>
  <c r="F50" i="20" l="1"/>
  <c r="AX13" i="21"/>
  <c r="AY13" i="21" s="1"/>
  <c r="C49" i="20"/>
  <c r="F49" i="20"/>
  <c r="AX14" i="22"/>
  <c r="AY14" i="22" s="1"/>
  <c r="AX13" i="22"/>
  <c r="AY13" i="22" s="1"/>
  <c r="AX14" i="21"/>
  <c r="AY14" i="21" s="1"/>
  <c r="C50" i="20"/>
  <c r="T55" i="16"/>
  <c r="U55" i="16" s="1"/>
  <c r="T53" i="16"/>
  <c r="U53" i="16" s="1"/>
  <c r="T56" i="16"/>
  <c r="U56" i="16" s="1"/>
  <c r="T57" i="16"/>
  <c r="S54" i="16"/>
  <c r="B72" i="16" s="1"/>
  <c r="C51" i="20" l="1"/>
  <c r="F51" i="20"/>
  <c r="AY15" i="21"/>
  <c r="AY23" i="21" s="1"/>
  <c r="BC23" i="21" s="1"/>
  <c r="BC22" i="21" s="1"/>
  <c r="C69" i="20" s="1"/>
  <c r="AY15" i="22"/>
  <c r="AY23" i="22" s="1"/>
  <c r="BC23" i="22" s="1"/>
  <c r="BC22" i="22" s="1"/>
  <c r="F69" i="20" s="1"/>
  <c r="U54" i="16"/>
  <c r="B44" i="16"/>
  <c r="BA25" i="21"/>
  <c r="BA26" i="21" s="1"/>
  <c r="AZ25" i="21"/>
  <c r="AZ26" i="21" s="1"/>
  <c r="AZ25" i="22" l="1"/>
  <c r="AZ26" i="22" s="1"/>
  <c r="C68" i="20"/>
  <c r="F68" i="20"/>
  <c r="BA25" i="22"/>
  <c r="BA26" i="22" s="1"/>
  <c r="AY29" i="21"/>
  <c r="C53" i="20" s="1"/>
  <c r="AY25" i="21"/>
  <c r="AY27" i="21" s="1"/>
  <c r="C60" i="20" s="1"/>
  <c r="AY29" i="22"/>
  <c r="F53" i="20" s="1"/>
  <c r="AY25" i="22"/>
  <c r="F58" i="20" s="1"/>
  <c r="F61" i="20" s="1"/>
  <c r="AZ27" i="22"/>
  <c r="BA27" i="21"/>
  <c r="AZ27" i="21"/>
  <c r="C58" i="20" l="1"/>
  <c r="C61" i="20" s="1"/>
  <c r="AY26" i="21"/>
  <c r="C59" i="20" s="1"/>
  <c r="BA27" i="22"/>
  <c r="AY27" i="22"/>
  <c r="F60" i="20" s="1"/>
  <c r="AY26" i="22"/>
  <c r="F59"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<sst xmlns="http://schemas.openxmlformats.org/spreadsheetml/2006/main" count="551" uniqueCount="223">
  <si>
    <t xml:space="preserve">Welkom bij de ontmoetingenvoorspeller voor gemengde profielen.								</t>
  </si>
  <si>
    <t xml:space="preserve">Deze tool is een hulpmiddel voor het ontwerp van straten met een gemengd profiel in het algemeen en fietsstraten in het bijzonder. Het is een aanvulling op de Fietsberaadnotitie "Aanbevelingen Fietsstraten in de bebouwde kom" (maart 2019). </t>
  </si>
  <si>
    <t>De tool is gebaseerd op de onderzoek naar 11 praktijkvoorbeelden. Het is het resultaat van een intensieve samenwerking tussen CROW-Fietsberaad en DTV-Consultants.</t>
  </si>
  <si>
    <r>
      <rPr>
        <sz val="11"/>
        <rFont val="Calibri"/>
        <family val="2"/>
        <scheme val="minor"/>
      </rPr>
      <t xml:space="preserve">We beschouwen deze tool als een eerste prototype. Afhankelijk van de reacties willen we bepalen of we de tool verder willen verbeteren. Reacties en gebruikerservaringen zijn daarom meer dan welkom via </t>
    </r>
    <r>
      <rPr>
        <u/>
        <sz val="11"/>
        <rFont val="Calibri"/>
        <family val="2"/>
        <scheme val="minor"/>
      </rPr>
      <t>fietsberaad@crow.nl</t>
    </r>
    <r>
      <rPr>
        <sz val="11"/>
        <rFont val="Calibri"/>
        <family val="2"/>
        <scheme val="minor"/>
      </rPr>
      <t>.</t>
    </r>
  </si>
  <si>
    <t xml:space="preserve">								</t>
  </si>
  <si>
    <t xml:space="preserve">Literatuur								</t>
  </si>
  <si>
    <t>https://www.fietsberaad.nl/Kennisbank/Fietsberaadnotitie-Aanbevelingen-fietsstraten-binn</t>
  </si>
  <si>
    <t>https://www.fietsberaad.nl/Kennisbank/Fietsberaadpublicatie-32-Evaluatie-Fietstraten</t>
  </si>
  <si>
    <t>Inleiding</t>
  </si>
  <si>
    <t>In dit tabblad bepalen we in twee stappen het gewenste profiel voor een hoofdfietsroute over een erftoegangsweg.</t>
  </si>
  <si>
    <t>- Stap 1: bepaal gewenste rijbaanbreedte op basis van maatgevende voertuigcombinatie</t>
  </si>
  <si>
    <t>- Stap 2: bepaal op basis van gewenste rijbaanbreedte het gewenste profiel</t>
  </si>
  <si>
    <t>Stap 1: Bepaal gewenste rijbaanbreedte</t>
  </si>
  <si>
    <t>In deze eerste stap bepalen we welk type ontmoetingen maatgevend is voor de rijbaanbreedte. Zijn het ontmoetingen tussen motorvoertuigen onderling, tussen fietsers en motorvoertuigen of tussen fietsers onderling? Daarom moet eerst voor elk type ontmoetingen apart de gewenste rijbaanbreedte bepaald worden.</t>
  </si>
  <si>
    <t>1A. Gewenste rijbaanbreedte o.b.v. maatgevende combinatie voor motorvoertuigen (snelheid &lt; 35 km/uur)</t>
  </si>
  <si>
    <t>&lt; kies een maatgevende combinatie &gt;</t>
  </si>
  <si>
    <t>cm.</t>
  </si>
  <si>
    <t>1B. Gewenste rijbaanbreedte o.b.v. hinderlijke ontmoetingen fietsers en motorvoertuigen</t>
  </si>
  <si>
    <t>variant 1</t>
  </si>
  <si>
    <t>variant 2</t>
  </si>
  <si>
    <t>fiets</t>
  </si>
  <si>
    <t>auto</t>
  </si>
  <si>
    <t>uurintensiteit</t>
  </si>
  <si>
    <t>% richting 1 (100% bij eenrichtingsverkeer)</t>
  </si>
  <si>
    <t>% richting 2</t>
  </si>
  <si>
    <t>gemiddelde snelheid (km / uur)</t>
  </si>
  <si>
    <t>% duofietsers</t>
  </si>
  <si>
    <t>% bussen / vrachtwagens</t>
  </si>
  <si>
    <t>breedte rabatstrook</t>
  </si>
  <si>
    <t>gewenste rijbaanbreedte</t>
  </si>
  <si>
    <t>1C. Gewenste rijbaanbreedte o.b.v. hinderlijke ontmoetingen tussen (brom-)fietsers onderling</t>
  </si>
  <si>
    <t>Het aantal hinderlijke ontmoetingen tussen (brom-)fietsers onderling wordt onder andere bepaald door het aantal fietsers en brom/snorfietsers, het percentage duofietsers en de snelheid- en richtingsverschillen. Ook hiervoor kan (binnenkort) gebruik gemaakt worden van de ontmoetingenvoorspeller op fietsberaad.nl.
Daarnaast adviseren we om voor hoofdfietsroutes in twee richtingen altijd een rijbaanbreedte van minimaal 4 meter aan te houden, zodat twee fietsduo’s uit tegengestelde richting elkaar conflictvrij kunnen passen. Desgewenst kunnen ook uitgangspunten voor hoofdfietsroutes uit lokale en/of regionale beleidsplannen aangehouden worden.</t>
  </si>
  <si>
    <t>Kies gewenste rijbaanbreedte volgens beleidsplan</t>
  </si>
  <si>
    <t>Conclusie variant 1-&gt; Maatgevende combinatie en gewenste rijbaanbreedte o.b.v. stappen 1A, 1B en 1C</t>
  </si>
  <si>
    <t>1a, 1b of 1c</t>
  </si>
  <si>
    <t>Let op: geparkeerde auto’s en andere obstakels naast de rijbaan kunnen de effectieve rijbaanbreedte verkleinen, omdat fietsers en automobilisten een schuwafstand aanhouden. Als de afstand tussen de rand van de rijbaan en geparkeerde auto’s kleiner is dan 0,5 m., moet de rijbaanbreedte hiervoor gecorrigeerd worden.</t>
  </si>
  <si>
    <t>Stap 2: Bepaal op basis van gewenste rijbaanbreedte het gewenste profiel</t>
  </si>
  <si>
    <t>optie 1</t>
  </si>
  <si>
    <t>Fietsstraat met 1 rijloper</t>
  </si>
  <si>
    <t>optie 2a</t>
  </si>
  <si>
    <t>Fietsstraat met 2 rijlopers (zonder rabatstroken)</t>
  </si>
  <si>
    <t>optie 2b</t>
  </si>
  <si>
    <t>Fietsstraat met 2 rijlopers (eventueel zonder rabatstroken)</t>
  </si>
  <si>
    <t>optie 2</t>
  </si>
  <si>
    <t>Fietsstraat met 2 rijlopers</t>
  </si>
  <si>
    <t>optie 3</t>
  </si>
  <si>
    <t>Fietsstroken smalle rijloper</t>
  </si>
  <si>
    <t>geen optie</t>
  </si>
  <si>
    <t>In dit tabblad kunt u "spelen" met de rijbaanbreedte. Welke invloed heeft aanpassing van de rijbaanbreedte op aantal "te krappe" ontmoetingen? En welke invloed heeft dit op het rapportcijfer van fietsers?</t>
  </si>
  <si>
    <t>Intensiteiten en rijbaanbreedte</t>
  </si>
  <si>
    <t>De getallen in de grijze cellen zijn overgenomen uit het tabblad "Gewenste rijbaanbreedte".</t>
  </si>
  <si>
    <t>% richting 1</t>
  </si>
  <si>
    <t>snelheid (km/uur)</t>
  </si>
  <si>
    <t>breedte rabatstrook (cm)</t>
  </si>
  <si>
    <t>rijbaanbreedte (cm)</t>
  </si>
  <si>
    <r>
      <t xml:space="preserve">*) Let op: het betreft het </t>
    </r>
    <r>
      <rPr>
        <b/>
        <sz val="11"/>
        <rFont val="Calibri"/>
        <family val="2"/>
        <scheme val="minor"/>
      </rPr>
      <t>gemiddelde</t>
    </r>
    <r>
      <rPr>
        <sz val="11"/>
        <rFont val="Calibri"/>
        <family val="2"/>
        <scheme val="minor"/>
      </rPr>
      <t xml:space="preserve"> rapportcijfer van alle fietsers. Door het middelen kunnen kleine veranderingen in het rapportcijfer grote betekenis hebben. Dit komt tot uitdrukking in het percentage fietsers dat een rapportcijfer lager dan een 6 of hoger dan een 7 geeft. Zie tabellen hieronder.</t>
    </r>
  </si>
  <si>
    <t>Aantal voorspelde "krappe" ontmoetingen per fietser per uur per kilometer</t>
  </si>
  <si>
    <t>ontmoetingen waarbij alleen fietsers en personenauto's betrokken zijn</t>
  </si>
  <si>
    <t>ontmoetingen waarbij minimaal één vrachtwagen betrokken is</t>
  </si>
  <si>
    <t>totaal</t>
  </si>
  <si>
    <t>max. aantal ontmoetingen voor een 7</t>
  </si>
  <si>
    <t>Voorspelde beoordeling door fietsers</t>
  </si>
  <si>
    <t>gemiddeld rapportcijfer *)</t>
  </si>
  <si>
    <t>% hoger dan 7</t>
  </si>
  <si>
    <t>% lager dan 6</t>
  </si>
  <si>
    <t>kwalificatie</t>
  </si>
  <si>
    <r>
      <t xml:space="preserve">*) Let op: het betreft het </t>
    </r>
    <r>
      <rPr>
        <b/>
        <sz val="11"/>
        <rFont val="Calibri"/>
        <family val="2"/>
        <scheme val="minor"/>
      </rPr>
      <t>gemiddelde</t>
    </r>
    <r>
      <rPr>
        <sz val="11"/>
        <rFont val="Calibri"/>
        <family val="2"/>
        <scheme val="minor"/>
      </rPr>
      <t xml:space="preserve"> rapportcijfer van alle fietsers. Door het middelen kunnen kleine veranderingen in het rapportcijfer grote betekenis hebben. Dit komt tot uitdrukking in het percentage fietsers dat een rapportcijfer lager dan een 6 of hoger dan een 7 geeft.</t>
    </r>
  </si>
  <si>
    <t>Factoren die de beoordeling bepalen</t>
  </si>
  <si>
    <t>aantal "krappe" ontmoetingen</t>
  </si>
  <si>
    <t>fietsintensiteit</t>
  </si>
  <si>
    <t>Totaal in tijdsperiode</t>
  </si>
  <si>
    <t>F</t>
  </si>
  <si>
    <t>A</t>
  </si>
  <si>
    <t>V</t>
  </si>
  <si>
    <t>Gemiddeld per fietser in tijdsperiode</t>
  </si>
  <si>
    <t>int/sec richting 1</t>
  </si>
  <si>
    <t>int/sec richting 2</t>
  </si>
  <si>
    <t>duur over wegvak</t>
  </si>
  <si>
    <t>duur inhaalbeweging</t>
  </si>
  <si>
    <t>sec.</t>
  </si>
  <si>
    <t>Totaal aantal ontmoetingen</t>
  </si>
  <si>
    <t>fiets legt dan</t>
  </si>
  <si>
    <t>meter af</t>
  </si>
  <si>
    <t>auto doet hier</t>
  </si>
  <si>
    <t>sec. over</t>
  </si>
  <si>
    <t>fiets - auto</t>
  </si>
  <si>
    <t>F+A</t>
  </si>
  <si>
    <t>fiets - auto - fiets</t>
  </si>
  <si>
    <t>F+A+F</t>
  </si>
  <si>
    <t>auto - fiets</t>
  </si>
  <si>
    <t>alleenfietsers</t>
  </si>
  <si>
    <t>duofiets - auto</t>
  </si>
  <si>
    <t>FF+A</t>
  </si>
  <si>
    <t>duofiets - auto - fiets</t>
  </si>
  <si>
    <t>FF+A+F</t>
  </si>
  <si>
    <t>bus / vrachtwagen</t>
  </si>
  <si>
    <t>bus / vrachtwagen - fiets</t>
  </si>
  <si>
    <t>duofietsers</t>
  </si>
  <si>
    <t>fiets - bus / vrachtwagen</t>
  </si>
  <si>
    <t>F+V</t>
  </si>
  <si>
    <t>fiets - bus / vrachtwagen - fiets</t>
  </si>
  <si>
    <t>F+V+F</t>
  </si>
  <si>
    <t>auto - duofiets</t>
  </si>
  <si>
    <t>auto's</t>
  </si>
  <si>
    <t>duofiets - bus / vrachtwagen</t>
  </si>
  <si>
    <t>FF+V</t>
  </si>
  <si>
    <t>duofiets - bus / vrachtwagen - fiets</t>
  </si>
  <si>
    <t>FF+V+F</t>
  </si>
  <si>
    <t>bus / vrachtwagen - duofiets</t>
  </si>
  <si>
    <t>vrachtauto's</t>
  </si>
  <si>
    <t>duofiets - auto - duofiets</t>
  </si>
  <si>
    <t>FF+A+FF</t>
  </si>
  <si>
    <t>duofiets - bus / vrachtwagen - duofiets</t>
  </si>
  <si>
    <t>FF+V+FF</t>
  </si>
  <si>
    <t>tijdsperiode</t>
  </si>
  <si>
    <t>per uur per kilometer</t>
  </si>
  <si>
    <t>aantal kritische ontmoetingen</t>
  </si>
  <si>
    <t>aantal onmogelijke ontmoetingen</t>
  </si>
  <si>
    <t>regressiemodel</t>
  </si>
  <si>
    <t>fiets - auto - auto</t>
  </si>
  <si>
    <t>F+A+A</t>
  </si>
  <si>
    <t>auto - auto</t>
  </si>
  <si>
    <t>fiets - auto  - bus / vrachtwagen</t>
  </si>
  <si>
    <t>F+A+V</t>
  </si>
  <si>
    <t>auto - bus / vrachtwagen</t>
  </si>
  <si>
    <t>factor</t>
  </si>
  <si>
    <t>fiets - bus / vrachtwagen - bus / vrachtwagen</t>
  </si>
  <si>
    <t>F+V+V</t>
  </si>
  <si>
    <t>bus / vrachtwagen - bus / vrachtwagen</t>
  </si>
  <si>
    <t>constante</t>
  </si>
  <si>
    <t>duofiets - auto - auto</t>
  </si>
  <si>
    <t>FF+A+A</t>
  </si>
  <si>
    <t>intensiteit fietsers - 250</t>
  </si>
  <si>
    <t>duofiets - auto - bus / vrachtwagen</t>
  </si>
  <si>
    <t>FF+A+V</t>
  </si>
  <si>
    <t>"krappe" ontmoetingen per fietser</t>
  </si>
  <si>
    <t>duofiets - bus / vrachtwagen - bus / vrachtwagen</t>
  </si>
  <si>
    <t>FF+V+V</t>
  </si>
  <si>
    <t>verwacht oordeel fietser</t>
  </si>
  <si>
    <t>% &gt; 7 = -1,79966 + 0,31481 * verwacht oordeel fietser</t>
  </si>
  <si>
    <t>% &lt; 6 = 1,34775 - 0,17604 * verwacht oordeel fietser</t>
  </si>
  <si>
    <t>auto-auto</t>
  </si>
  <si>
    <t>A+A</t>
  </si>
  <si>
    <t>fiets - auto - auto - fiets</t>
  </si>
  <si>
    <t>F+A+A+F</t>
  </si>
  <si>
    <t>auto - auto - fiets</t>
  </si>
  <si>
    <t>bus / vrachtwagen - auto</t>
  </si>
  <si>
    <t>V+A</t>
  </si>
  <si>
    <t>fiets - auto - auto - duofiets</t>
  </si>
  <si>
    <t>FF+A+A+F</t>
  </si>
  <si>
    <t>duofiets</t>
  </si>
  <si>
    <t>auto - auto - duofiets</t>
  </si>
  <si>
    <t>V+V</t>
  </si>
  <si>
    <t>fiets - auto - bus / vrachtwagen - fiets</t>
  </si>
  <si>
    <t>F+A+V+F</t>
  </si>
  <si>
    <t>auto - bus / vrachtwagen - fiets</t>
  </si>
  <si>
    <t>fiets - auto - bus / vrachtwagen - duofiets</t>
  </si>
  <si>
    <t>FF+A+V+F</t>
  </si>
  <si>
    <t>auto - bus / vrachtwagen - duofiets</t>
  </si>
  <si>
    <t>fiets - bus / vrachtwagen - bus / vrachtwagen - fiets</t>
  </si>
  <si>
    <t>F+V+V+F</t>
  </si>
  <si>
    <t>bus / vrachtwagen - bus / vrachtwagen - fiets</t>
  </si>
  <si>
    <t>fiets - bus / vrachtwagen - bus / vrachtwagen - duofiets</t>
  </si>
  <si>
    <t>FF+V+V+F</t>
  </si>
  <si>
    <t>bus / vrachtwagen - bus / vrachtwagen - duofiets</t>
  </si>
  <si>
    <t>duofiets - auto - auto - duofiets</t>
  </si>
  <si>
    <t>FF+A+A+FF</t>
  </si>
  <si>
    <t>duofiets - auto - bus / vrachtwagen - duofiets</t>
  </si>
  <si>
    <t>FF+A+V+FF</t>
  </si>
  <si>
    <t>duofiets - bus / vrachtwagen - bus / vrachtwagen - duofiets</t>
  </si>
  <si>
    <t>FF+V+V+FF</t>
  </si>
  <si>
    <t>fiets - fiets</t>
  </si>
  <si>
    <t>F+F</t>
  </si>
  <si>
    <t>duofiets - fiets</t>
  </si>
  <si>
    <t>FF+F</t>
  </si>
  <si>
    <t>duofiets - duofiets</t>
  </si>
  <si>
    <t>FF+FF</t>
  </si>
  <si>
    <t>2,50%</t>
  </si>
  <si>
    <t>97,50%</t>
  </si>
  <si>
    <t>intensiteit fietsers</t>
  </si>
  <si>
    <t>rijbaanbreedte</t>
  </si>
  <si>
    <t>duur over wegvak (sec.)</t>
  </si>
  <si>
    <t>rijbaanbreedte incl. 2 x 1/2 rabatstrook</t>
  </si>
  <si>
    <t>inhaalbewegingen</t>
  </si>
  <si>
    <t>tegemoetkomingen</t>
  </si>
  <si>
    <t>complexe ontmoetingen I</t>
  </si>
  <si>
    <t>complexe ontmoetingen II</t>
  </si>
  <si>
    <t>complexe ontmoetingen III</t>
  </si>
  <si>
    <t>aantal rood + geel</t>
  </si>
  <si>
    <t>per fietser</t>
  </si>
  <si>
    <t>intercept</t>
  </si>
  <si>
    <t>factor te krappe ontmoetingen</t>
  </si>
  <si>
    <t>factor (i_fiets - 250)</t>
  </si>
  <si>
    <t>factor fiets &gt;= factor te krappe ontmoetingen</t>
  </si>
  <si>
    <t>factor fiets &lt; 0.5</t>
  </si>
  <si>
    <t>rapportcijfer</t>
  </si>
  <si>
    <t>maatgevende combinatie</t>
  </si>
  <si>
    <t>wegbreedte</t>
  </si>
  <si>
    <t>ontmoeting</t>
  </si>
  <si>
    <t>onmogelijk tot breedte (m)</t>
  </si>
  <si>
    <t>kritisch tot breedte (m)</t>
  </si>
  <si>
    <t>oordeel van</t>
  </si>
  <si>
    <t>oordeel tot</t>
  </si>
  <si>
    <t/>
  </si>
  <si>
    <t>vooruitkijken bij inhalen</t>
  </si>
  <si>
    <t>seconden</t>
  </si>
  <si>
    <t>slecht</t>
  </si>
  <si>
    <t>1 personenauto (bij eenrichtingsverkeer)</t>
  </si>
  <si>
    <t>lengte fiets</t>
  </si>
  <si>
    <t>meter</t>
  </si>
  <si>
    <t>matig</t>
  </si>
  <si>
    <t>2 personenauto's bij zeer lage intensiteit (&lt; 50 mvt / uur)</t>
  </si>
  <si>
    <t>lengte auto</t>
  </si>
  <si>
    <t>goed</t>
  </si>
  <si>
    <t>2 personenauto's</t>
  </si>
  <si>
    <t>weglengte</t>
  </si>
  <si>
    <t>zeer goed</t>
  </si>
  <si>
    <t>1 personenauto + bus / vrachtauto</t>
  </si>
  <si>
    <t>periode</t>
  </si>
  <si>
    <t>2 bussen of vrachtauto's</t>
  </si>
  <si>
    <t>optie</t>
  </si>
  <si>
    <t>tekening</t>
  </si>
  <si>
    <t>juli 2024, Versie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</si>
</sst>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7">
    <font>
      <sz val="10"/>
      <name val="MetaBook-Roman"/>
      <family val="2"/>
    </font>
    <font>
      <sz val="11"/>
      <color theme="1"/>
      <name val="Calibri"/>
      <family val="2"/>
      <scheme val="minor"/>
    </font>
    <font>
      <sz val="11"/>
      <color theme="1"/>
      <name val="Calibri"/>
      <family val="2"/>
      <scheme val="minor"/>
    </font>
    <font>
      <sz val="10"/>
      <name val="Calibri"/>
      <family val="2"/>
      <scheme val="minor"/>
    </font>
    <font>
      <sz val="10"/>
      <name val="MetaBook-Roman"/>
      <family val="2"/>
    </font>
    <font>
      <b/>
      <sz val="11"/>
      <color theme="1"/>
      <name val="Calibri"/>
      <family val="2"/>
      <scheme val="minor"/>
    </font>
    <font>
      <sz val="11"/>
      <name val="Calibri"/>
      <family val="2"/>
      <scheme val="minor"/>
    </font>
    <font>
      <sz val="11"/>
      <name val="MetaBook-Roman"/>
      <family val="2"/>
    </font>
    <font>
      <b/>
      <sz val="11"/>
      <name val="Calibri"/>
      <family val="2"/>
      <scheme val="minor"/>
    </font>
    <font>
      <sz val="11"/>
      <color rgb="FFFF0000"/>
      <name val="Calibri"/>
      <family val="2"/>
      <scheme val="minor"/>
    </font>
    <font>
      <b/>
      <sz val="15"/>
      <color rgb="FF008BCA"/>
      <name val="Calibri"/>
      <family val="2"/>
      <scheme val="minor"/>
    </font>
    <font>
      <b/>
      <sz val="11"/>
      <color rgb="FF000000"/>
      <name val="Calibri"/>
      <family val="2"/>
      <scheme val="minor"/>
    </font>
    <font>
      <b/>
      <sz val="13"/>
      <name val="Calibri"/>
      <family val="2"/>
      <scheme val="minor"/>
    </font>
    <font>
      <sz val="18"/>
      <color rgb="FF008BCA"/>
      <name val="Calibri Light"/>
      <family val="2"/>
      <scheme val="major"/>
    </font>
    <font>
      <u/>
      <sz val="10"/>
      <color theme="10"/>
      <name val="MetaBook-Roman"/>
      <family val="2"/>
    </font>
    <font>
      <u/>
      <sz val="11"/>
      <name val="Calibri"/>
      <family val="2"/>
      <scheme val="minor"/>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79998168889431442"/>
        <bgColor indexed="65"/>
      </patternFill>
    </fill>
  </fills>
  <borders count="20">
    <border>
      <left/>
      <right/>
      <top/>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theme="4"/>
      </left>
      <right/>
      <top style="thin">
        <color theme="4"/>
      </top>
      <bottom/>
      <diagonal/>
    </border>
    <border>
      <left/>
      <right/>
      <top style="thin">
        <color theme="4"/>
      </top>
      <bottom/>
      <diagonal/>
    </border>
    <border>
      <left/>
      <right style="thin">
        <color theme="4"/>
      </right>
      <top style="thin">
        <color theme="4"/>
      </top>
      <bottom/>
      <diagonal/>
    </border>
    <border>
      <left style="thin">
        <color theme="4"/>
      </left>
      <right/>
      <top/>
      <bottom/>
      <diagonal/>
    </border>
    <border>
      <left/>
      <right style="thin">
        <color theme="4"/>
      </right>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bottom style="thick">
        <color theme="4"/>
      </bottom>
      <diagonal/>
    </border>
    <border>
      <left style="thin">
        <color rgb="FF008BCA"/>
      </left>
      <right style="thin">
        <color rgb="FF008BCA"/>
      </right>
      <top style="thin">
        <color rgb="FF008BCA"/>
      </top>
      <bottom style="thin">
        <color rgb="FF008BCA"/>
      </bottom>
      <diagonal/>
    </border>
    <border>
      <left style="thin">
        <color rgb="FF008BCA"/>
      </left>
      <right style="thin">
        <color theme="4"/>
      </right>
      <top style="thin">
        <color rgb="FF008BCA"/>
      </top>
      <bottom style="thin">
        <color rgb="FF008BCA"/>
      </bottom>
      <diagonal/>
    </border>
    <border>
      <left style="thin">
        <color theme="4"/>
      </left>
      <right style="thin">
        <color theme="4"/>
      </right>
      <top style="thin">
        <color rgb="FF008BCA"/>
      </top>
      <bottom style="thin">
        <color rgb="FF008BCA"/>
      </bottom>
      <diagonal/>
    </border>
    <border>
      <left style="thin">
        <color theme="4"/>
      </left>
      <right style="thin">
        <color rgb="FF008BCA"/>
      </right>
      <top style="thin">
        <color rgb="FF008BCA"/>
      </top>
      <bottom style="thin">
        <color rgb="FF008BCA"/>
      </bottom>
      <diagonal/>
    </border>
    <border>
      <left/>
      <right/>
      <top/>
      <bottom style="thick">
        <color rgb="FF008BCA"/>
      </bottom>
      <diagonal/>
    </border>
    <border>
      <left style="thin">
        <color rgb="FF008BCA"/>
      </left>
      <right style="thin">
        <color rgb="FF008BCA"/>
      </right>
      <top/>
      <bottom style="thin">
        <color rgb="FF008BCA"/>
      </bottom>
      <diagonal/>
    </border>
    <border>
      <left/>
      <right style="thin">
        <color rgb="FF008BCA"/>
      </right>
      <top/>
      <bottom/>
      <diagonal/>
    </border>
  </borders>
  <cellStyleXfs count="11">
    <xf numFmtId="0" fontId="0" fillId="0" borderId="0"/>
    <xf numFmtId="0" fontId="13" fillId="0" borderId="0" applyNumberFormat="0" applyFill="0" applyBorder="0" applyAlignment="0" applyProtection="0"/>
    <xf numFmtId="0" fontId="12" fillId="0" borderId="1" applyNumberFormat="0" applyFill="0" applyAlignment="0" applyProtection="0"/>
    <xf numFmtId="0" fontId="8" fillId="0" borderId="2" applyNumberFormat="0" applyFill="0" applyAlignment="0" applyProtection="0"/>
    <xf numFmtId="0" fontId="11" fillId="0" borderId="0" applyNumberFormat="0" applyFill="0" applyBorder="0" applyAlignment="0" applyProtection="0"/>
    <xf numFmtId="9" fontId="4" fillId="0" borderId="0" applyFont="0" applyFill="0" applyBorder="0" applyAlignment="0" applyProtection="0"/>
    <xf numFmtId="0" fontId="5" fillId="0" borderId="3" applyNumberFormat="0" applyFill="0" applyAlignment="0" applyProtection="0"/>
    <xf numFmtId="0" fontId="2" fillId="3" borderId="0" applyNumberFormat="0" applyBorder="0" applyAlignment="0" applyProtection="0"/>
    <xf numFmtId="0" fontId="10" fillId="0" borderId="12" applyNumberFormat="0" applyFill="0" applyBorder="0" applyAlignment="0" applyProtection="0"/>
    <xf numFmtId="0" fontId="9" fillId="0" borderId="0" applyNumberFormat="0" applyFill="0" applyBorder="0" applyAlignment="0" applyProtection="0"/>
    <xf numFmtId="0" fontId="14" fillId="0" borderId="0" applyNumberFormat="0" applyFill="0" applyBorder="0" applyAlignment="0" applyProtection="0"/>
  </cellStyleXfs>
  <cellXfs count="78">
    <xf numFmtId="0" fontId="0" fillId="0" borderId="0" xfId="0"/>
    <xf numFmtId="0" fontId="3" fillId="0" borderId="0" xfId="0" applyFont="1"/>
    <xf numFmtId="0" fontId="3" fillId="2" borderId="0" xfId="0" applyFont="1" applyFill="1"/>
    <xf numFmtId="0" fontId="11" fillId="2" borderId="0" xfId="4" applyFill="1"/>
    <xf numFmtId="0" fontId="13" fillId="2" borderId="0" xfId="1" applyFill="1" applyAlignment="1">
      <alignment horizontal="center"/>
    </xf>
    <xf numFmtId="0" fontId="0" fillId="2" borderId="0" xfId="0" applyFill="1"/>
    <xf numFmtId="0" fontId="13" fillId="2" borderId="0" xfId="1" applyFill="1"/>
    <xf numFmtId="0" fontId="0" fillId="0" borderId="0" xfId="0" quotePrefix="1"/>
    <xf numFmtId="0" fontId="11" fillId="0" borderId="0" xfId="4"/>
    <xf numFmtId="9" fontId="0" fillId="0" borderId="0" xfId="5" applyFont="1"/>
    <xf numFmtId="0" fontId="8" fillId="0" borderId="2" xfId="3"/>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2" fillId="0" borderId="1" xfId="2"/>
    <xf numFmtId="0" fontId="5" fillId="0" borderId="3" xfId="6"/>
    <xf numFmtId="164" fontId="0" fillId="0" borderId="0" xfId="0" applyNumberFormat="1"/>
    <xf numFmtId="2" fontId="0" fillId="0" borderId="0" xfId="0" applyNumberFormat="1"/>
    <xf numFmtId="10" fontId="8" fillId="0" borderId="2" xfId="3" applyNumberFormat="1"/>
    <xf numFmtId="0" fontId="11" fillId="2" borderId="0" xfId="4" applyFill="1" applyAlignment="1">
      <alignment wrapText="1"/>
    </xf>
    <xf numFmtId="0" fontId="3" fillId="2" borderId="0" xfId="0" quotePrefix="1" applyFont="1" applyFill="1"/>
    <xf numFmtId="0" fontId="3" fillId="2" borderId="0" xfId="0" applyFont="1" applyFill="1" applyAlignment="1">
      <alignment wrapText="1"/>
    </xf>
    <xf numFmtId="0" fontId="6" fillId="2" borderId="0" xfId="0" quotePrefix="1" applyFont="1" applyFill="1"/>
    <xf numFmtId="17" fontId="11" fillId="2" borderId="0" xfId="4" applyNumberFormat="1" applyFill="1"/>
    <xf numFmtId="0" fontId="6" fillId="2" borderId="13" xfId="0" applyFont="1" applyFill="1" applyBorder="1" applyProtection="1">
      <protection locked="0"/>
    </xf>
    <xf numFmtId="9" fontId="6" fillId="2" borderId="13" xfId="0" applyNumberFormat="1" applyFont="1" applyFill="1" applyBorder="1" applyProtection="1">
      <protection locked="0"/>
    </xf>
    <xf numFmtId="9" fontId="1" fillId="3" borderId="13" xfId="7" applyNumberFormat="1" applyFont="1" applyBorder="1"/>
    <xf numFmtId="9" fontId="2" fillId="3" borderId="13" xfId="7" applyNumberFormat="1" applyBorder="1"/>
    <xf numFmtId="0" fontId="2" fillId="3" borderId="13" xfId="7" applyBorder="1"/>
    <xf numFmtId="2" fontId="2" fillId="3" borderId="13" xfId="7" applyNumberFormat="1" applyBorder="1"/>
    <xf numFmtId="0" fontId="10" fillId="2" borderId="0" xfId="8" applyFill="1" applyBorder="1"/>
    <xf numFmtId="0" fontId="10" fillId="2" borderId="0" xfId="8" quotePrefix="1" applyFill="1" applyBorder="1"/>
    <xf numFmtId="0" fontId="12" fillId="2" borderId="17" xfId="2" applyFill="1" applyBorder="1" applyAlignment="1">
      <alignment horizontal="centerContinuous"/>
    </xf>
    <xf numFmtId="0" fontId="12" fillId="2" borderId="0" xfId="2" applyFill="1" applyBorder="1"/>
    <xf numFmtId="0" fontId="12" fillId="2" borderId="0" xfId="2" applyFill="1" applyBorder="1" applyAlignment="1">
      <alignment wrapText="1"/>
    </xf>
    <xf numFmtId="2" fontId="2" fillId="3" borderId="18" xfId="7" applyNumberFormat="1" applyBorder="1"/>
    <xf numFmtId="0" fontId="12" fillId="2" borderId="17" xfId="2" applyFill="1" applyBorder="1"/>
    <xf numFmtId="0" fontId="8" fillId="0" borderId="0" xfId="3" applyBorder="1"/>
    <xf numFmtId="0" fontId="13" fillId="2" borderId="13" xfId="1" applyFill="1" applyBorder="1" applyAlignment="1">
      <alignment wrapText="1"/>
    </xf>
    <xf numFmtId="0" fontId="6" fillId="0" borderId="0" xfId="0" applyFont="1"/>
    <xf numFmtId="0" fontId="0" fillId="0" borderId="13" xfId="0" applyBorder="1" applyProtection="1">
      <protection locked="0"/>
    </xf>
    <xf numFmtId="0" fontId="0" fillId="2" borderId="13" xfId="0" applyFill="1" applyBorder="1" applyProtection="1">
      <protection locked="0"/>
    </xf>
    <xf numFmtId="0" fontId="13" fillId="2" borderId="13" xfId="1" applyFill="1" applyBorder="1" applyAlignment="1" applyProtection="1">
      <alignment wrapText="1"/>
      <protection locked="0"/>
    </xf>
    <xf numFmtId="0" fontId="10" fillId="2" borderId="0" xfId="8" applyFill="1" applyBorder="1" applyAlignment="1">
      <alignment horizontal="left" vertical="center"/>
    </xf>
    <xf numFmtId="0" fontId="10" fillId="2" borderId="0" xfId="8" applyFill="1" applyBorder="1" applyAlignment="1">
      <alignment vertical="center"/>
    </xf>
    <xf numFmtId="0" fontId="8" fillId="2" borderId="0" xfId="3" applyFill="1" applyBorder="1" applyAlignment="1">
      <alignment horizontal="right"/>
    </xf>
    <xf numFmtId="0" fontId="11" fillId="2" borderId="0" xfId="4"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11" fillId="2" borderId="0" xfId="4" applyFill="1" applyAlignment="1">
      <alignment vertical="top"/>
    </xf>
    <xf numFmtId="0" fontId="11" fillId="2" borderId="0" xfId="4" applyFill="1" applyAlignment="1">
      <alignment horizontal="right"/>
    </xf>
    <xf numFmtId="2" fontId="13" fillId="2" borderId="0" xfId="1" applyNumberFormat="1" applyFill="1" applyAlignment="1">
      <alignment horizontal="right"/>
    </xf>
    <xf numFmtId="0" fontId="2" fillId="3" borderId="13" xfId="7" applyBorder="1" applyAlignment="1">
      <alignment horizontal="right"/>
    </xf>
    <xf numFmtId="0" fontId="12" fillId="2" borderId="17" xfId="2" applyFill="1" applyBorder="1" applyAlignment="1">
      <alignment horizontal="right"/>
    </xf>
    <xf numFmtId="0" fontId="1" fillId="3" borderId="13" xfId="7" applyFont="1" applyBorder="1"/>
    <xf numFmtId="0" fontId="6" fillId="2" borderId="0" xfId="0" applyFont="1" applyFill="1" applyAlignment="1">
      <alignment wrapText="1"/>
    </xf>
    <xf numFmtId="0" fontId="15" fillId="2" borderId="0" xfId="10" applyFont="1" applyFill="1" applyAlignment="1">
      <alignment wrapText="1"/>
    </xf>
    <xf numFmtId="0" fontId="14" fillId="2" borderId="0" xfId="10" applyFill="1" applyAlignment="1">
      <alignment wrapText="1"/>
    </xf>
    <xf numFmtId="0" fontId="16" fillId="2" borderId="0" xfId="10" applyFont="1" applyFill="1" applyAlignment="1"/>
    <xf numFmtId="0" fontId="3" fillId="0" borderId="0" xfId="0" applyFont="1"/>
    <xf numFmtId="0" fontId="0" fillId="0" borderId="0" xfId="0" applyAlignment="1">
      <alignment wrapText="1"/>
    </xf>
    <xf numFmtId="0" fontId="7" fillId="0" borderId="0" xfId="0" applyFont="1" applyAlignment="1">
      <alignment wrapText="1"/>
    </xf>
    <xf numFmtId="0" fontId="9" fillId="2" borderId="0" xfId="9" applyFill="1" applyAlignment="1">
      <alignment wrapText="1"/>
    </xf>
    <xf numFmtId="0" fontId="3" fillId="2" borderId="0" xfId="0" applyFont="1" applyFill="1"/>
    <xf numFmtId="0" fontId="0" fillId="0" borderId="0" xfId="0"/>
    <xf numFmtId="0" fontId="6" fillId="2" borderId="14" xfId="0" applyFont="1" applyFill="1" applyBorder="1" applyProtection="1">
      <protection locked="0"/>
    </xf>
    <xf numFmtId="0" fontId="7" fillId="0" borderId="15" xfId="0" applyFont="1" applyBorder="1" applyProtection="1">
      <protection locked="0"/>
    </xf>
    <xf numFmtId="0" fontId="7" fillId="0" borderId="16" xfId="0" applyFont="1" applyBorder="1" applyProtection="1">
      <protection locked="0"/>
    </xf>
    <xf numFmtId="0" fontId="6" fillId="2" borderId="0" xfId="0" quotePrefix="1" applyFont="1" applyFill="1" applyAlignment="1">
      <alignment wrapText="1"/>
    </xf>
    <xf numFmtId="0" fontId="7" fillId="2" borderId="0" xfId="0" applyFont="1" applyFill="1" applyAlignment="1">
      <alignment wrapText="1"/>
    </xf>
    <xf numFmtId="0" fontId="11" fillId="2" borderId="0" xfId="4" applyFill="1" applyAlignment="1">
      <alignment wrapText="1"/>
    </xf>
    <xf numFmtId="0" fontId="0" fillId="0" borderId="19" xfId="0" applyBorder="1"/>
    <xf numFmtId="0" fontId="6" fillId="0" borderId="0" xfId="0" applyFont="1" applyAlignment="1">
      <alignment wrapText="1"/>
    </xf>
  </cellXfs>
  <cellStyles count="11">
    <cellStyle name="20% - Accent5" xfId="7" builtinId="46"/>
    <cellStyle name="Hyperlink" xfId="10" builtinId="8"/>
    <cellStyle name="Kop 1" xfId="8" builtinId="16" customBuiltin="1"/>
    <cellStyle name="Kop 2" xfId="2" builtinId="17" customBuiltin="1"/>
    <cellStyle name="Kop 3" xfId="3" builtinId="18" customBuiltin="1"/>
    <cellStyle name="Kop 4" xfId="4" builtinId="19" customBuiltin="1"/>
    <cellStyle name="Procent" xfId="5" builtinId="5"/>
    <cellStyle name="Standaard" xfId="0" builtinId="0"/>
    <cellStyle name="Titel" xfId="1" builtinId="15" customBuiltin="1"/>
    <cellStyle name="Totaal" xfId="6" builtinId="25"/>
    <cellStyle name="Waarschuwingstekst" xfId="9" builtin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B79"/>
      <rgbColor rgb="00ED7703"/>
      <rgbColor rgb="00008BCA"/>
      <rgbColor rgb="0095A0C3"/>
      <rgbColor rgb="00F8BE87"/>
      <rgbColor rgb="009ECFE9"/>
      <rgbColor rgb="00B10057"/>
      <rgbColor rgb="0075405D"/>
      <rgbColor rgb="00003B79"/>
      <rgbColor rgb="00ED7703"/>
      <rgbColor rgb="00008BCA"/>
      <rgbColor rgb="0095A0C3"/>
      <rgbColor rgb="00F8BE87"/>
      <rgbColor rgb="009ECFE9"/>
      <rgbColor rgb="00B10057"/>
      <rgbColor rgb="0075405D"/>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D7703"/>
      <color rgb="FF008BCA"/>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Factoren die de beoordeling</a:t>
            </a:r>
            <a:r>
              <a:rPr lang="nl-NL" baseline="0"/>
              <a:t> bepalen</a:t>
            </a:r>
            <a:endParaRPr lang="nl-N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manualLayout>
          <c:layoutTarget val="inner"/>
          <c:xMode val="edge"/>
          <c:yMode val="edge"/>
          <c:x val="0.25051766119596497"/>
          <c:y val="0.16161220043572985"/>
          <c:w val="0.71561360050877176"/>
          <c:h val="0.6435980141036588"/>
        </c:manualLayout>
      </c:layout>
      <c:barChart>
        <c:barDir val="bar"/>
        <c:grouping val="clustered"/>
        <c:varyColors val="0"/>
        <c:ser>
          <c:idx val="1"/>
          <c:order val="0"/>
          <c:tx>
            <c:v>variant 2</c:v>
          </c:tx>
          <c:spPr>
            <a:solidFill>
              <a:srgbClr val="ED7703"/>
            </a:solidFill>
            <a:ln>
              <a:noFill/>
            </a:ln>
            <a:effectLst/>
          </c:spPr>
          <c:invertIfNegative val="0"/>
          <c:cat>
            <c:strRef>
              <c:f>'Spelen met de rijbaanbreedte'!$B$68:$B$69</c:f>
              <c:strCache>
                <c:ptCount val="2"/>
                <c:pt idx="0">
                  <c:v>aantal "krappe" ontmoetingen</c:v>
                </c:pt>
                <c:pt idx="1">
                  <c:v>fietsintensiteit</c:v>
                </c:pt>
              </c:strCache>
            </c:strRef>
          </c:cat>
          <c:val>
            <c:numRef>
              <c:f>'Spelen met de rijbaanbreedte'!$F$68:$F$69</c:f>
              <c:numCache>
                <c:formatCode>0.00</c:formatCode>
                <c:ptCount val="2"/>
                <c:pt idx="0">
                  <c:v>-0.11501026959481787</c:v>
                </c:pt>
                <c:pt idx="1">
                  <c:v>-0.1</c:v>
                </c:pt>
              </c:numCache>
            </c:numRef>
          </c:val>
          <c:extLst>
            <c:ext xmlns:c16="http://schemas.microsoft.com/office/drawing/2014/chart" uri="{C3380CC4-5D6E-409C-BE32-E72D297353CC}">
              <c16:uniqueId val="{00000001-DC26-45F3-B354-766356CE10C4}"/>
            </c:ext>
          </c:extLst>
        </c:ser>
        <c:ser>
          <c:idx val="0"/>
          <c:order val="1"/>
          <c:tx>
            <c:v>variant 1</c:v>
          </c:tx>
          <c:spPr>
            <a:solidFill>
              <a:srgbClr val="008BCA"/>
            </a:solidFill>
            <a:ln>
              <a:noFill/>
            </a:ln>
            <a:effectLst/>
          </c:spPr>
          <c:invertIfNegative val="0"/>
          <c:cat>
            <c:strRef>
              <c:f>'Spelen met de rijbaanbreedte'!$B$68:$B$69</c:f>
              <c:strCache>
                <c:ptCount val="2"/>
                <c:pt idx="0">
                  <c:v>aantal "krappe" ontmoetingen</c:v>
                </c:pt>
                <c:pt idx="1">
                  <c:v>fietsintensiteit</c:v>
                </c:pt>
              </c:strCache>
            </c:strRef>
          </c:cat>
          <c:val>
            <c:numRef>
              <c:f>'Spelen met de rijbaanbreedte'!$C$68:$C$69</c:f>
              <c:numCache>
                <c:formatCode>0.00</c:formatCode>
                <c:ptCount val="2"/>
                <c:pt idx="0">
                  <c:v>-7.9650371702170847E-2</c:v>
                </c:pt>
                <c:pt idx="1">
                  <c:v>-7.9650371702170847E-2</c:v>
                </c:pt>
              </c:numCache>
            </c:numRef>
          </c:val>
          <c:extLst>
            <c:ext xmlns:c16="http://schemas.microsoft.com/office/drawing/2014/chart" uri="{C3380CC4-5D6E-409C-BE32-E72D297353CC}">
              <c16:uniqueId val="{00000000-DC26-45F3-B354-766356CE10C4}"/>
            </c:ext>
          </c:extLst>
        </c:ser>
        <c:dLbls>
          <c:showLegendKey val="0"/>
          <c:showVal val="0"/>
          <c:showCatName val="0"/>
          <c:showSerName val="0"/>
          <c:showPercent val="0"/>
          <c:showBubbleSize val="0"/>
        </c:dLbls>
        <c:gapWidth val="182"/>
        <c:axId val="1243265919"/>
        <c:axId val="1362612751"/>
      </c:barChart>
      <c:catAx>
        <c:axId val="1243265919"/>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362612751"/>
        <c:crosses val="autoZero"/>
        <c:auto val="1"/>
        <c:lblAlgn val="ctr"/>
        <c:lblOffset val="100"/>
        <c:noMultiLvlLbl val="0"/>
      </c:catAx>
      <c:valAx>
        <c:axId val="1362612751"/>
        <c:scaling>
          <c:orientation val="minMax"/>
          <c:max val="0.60000000000000009"/>
          <c:min val="-0.60000000000000009"/>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Invloed</a:t>
                </a:r>
                <a:r>
                  <a:rPr lang="nl-NL" baseline="0"/>
                  <a:t> op gemiddelde rapportcijfer van fietsers</a:t>
                </a:r>
                <a:endParaRPr lang="nl-NL"/>
              </a:p>
            </c:rich>
          </c:tx>
          <c:layout>
            <c:manualLayout>
              <c:xMode val="edge"/>
              <c:yMode val="edge"/>
              <c:x val="0.36170290464603849"/>
              <c:y val="0.9292642134592613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43265919"/>
        <c:crossesAt val="0"/>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Invloed rijbaanbreedte op gemiddeld rapportcijfer</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scatterChart>
        <c:scatterStyle val="lineMarker"/>
        <c:varyColors val="0"/>
        <c:ser>
          <c:idx val="0"/>
          <c:order val="0"/>
          <c:tx>
            <c:v>variant 1</c:v>
          </c:tx>
          <c:spPr>
            <a:ln w="19050" cap="rnd">
              <a:solidFill>
                <a:srgbClr val="008BCA"/>
              </a:solidFill>
              <a:round/>
            </a:ln>
            <a:effectLst/>
          </c:spPr>
          <c:marker>
            <c:symbol val="circle"/>
            <c:size val="5"/>
            <c:spPr>
              <a:solidFill>
                <a:srgbClr val="008BCA"/>
              </a:solidFill>
              <a:ln w="9525">
                <a:solidFill>
                  <a:srgbClr val="008BCA"/>
                </a:solidFill>
              </a:ln>
              <a:effectLst/>
            </c:spPr>
          </c:marker>
          <c:xVal>
            <c:numRef>
              <c:f>'berekeningen variant 1'!$C$2:$AD$2</c:f>
              <c:numCache>
                <c:formatCode>General</c:formatCode>
                <c:ptCount val="28"/>
                <c:pt idx="0">
                  <c:v>300</c:v>
                </c:pt>
                <c:pt idx="1">
                  <c:v>380</c:v>
                </c:pt>
                <c:pt idx="2">
                  <c:v>390</c:v>
                </c:pt>
                <c:pt idx="3">
                  <c:v>459.99999999999994</c:v>
                </c:pt>
                <c:pt idx="4">
                  <c:v>470</c:v>
                </c:pt>
                <c:pt idx="5">
                  <c:v>480</c:v>
                </c:pt>
                <c:pt idx="6">
                  <c:v>509.99999999999994</c:v>
                </c:pt>
                <c:pt idx="7">
                  <c:v>550</c:v>
                </c:pt>
                <c:pt idx="8">
                  <c:v>560</c:v>
                </c:pt>
                <c:pt idx="9">
                  <c:v>590</c:v>
                </c:pt>
                <c:pt idx="10">
                  <c:v>600</c:v>
                </c:pt>
                <c:pt idx="11">
                  <c:v>630</c:v>
                </c:pt>
                <c:pt idx="12">
                  <c:v>640</c:v>
                </c:pt>
                <c:pt idx="13">
                  <c:v>669.99999999999989</c:v>
                </c:pt>
                <c:pt idx="14">
                  <c:v>680</c:v>
                </c:pt>
                <c:pt idx="15">
                  <c:v>710</c:v>
                </c:pt>
                <c:pt idx="16">
                  <c:v>720</c:v>
                </c:pt>
                <c:pt idx="17">
                  <c:v>749.99999999999989</c:v>
                </c:pt>
                <c:pt idx="18">
                  <c:v>760</c:v>
                </c:pt>
                <c:pt idx="19">
                  <c:v>770</c:v>
                </c:pt>
                <c:pt idx="20">
                  <c:v>800</c:v>
                </c:pt>
                <c:pt idx="21">
                  <c:v>840</c:v>
                </c:pt>
                <c:pt idx="22">
                  <c:v>850</c:v>
                </c:pt>
                <c:pt idx="23">
                  <c:v>920.00000000000011</c:v>
                </c:pt>
                <c:pt idx="24">
                  <c:v>930</c:v>
                </c:pt>
                <c:pt idx="25">
                  <c:v>1000.0000000000002</c:v>
                </c:pt>
                <c:pt idx="26">
                  <c:v>1010</c:v>
                </c:pt>
                <c:pt idx="27">
                  <c:v>1090</c:v>
                </c:pt>
              </c:numCache>
            </c:numRef>
          </c:xVal>
          <c:yVal>
            <c:numRef>
              <c:f>'berekeningen variant 1'!$C$52:$AD$52</c:f>
              <c:numCache>
                <c:formatCode>General</c:formatCode>
                <c:ptCount val="28"/>
                <c:pt idx="0">
                  <c:v>6.0930441674194675</c:v>
                </c:pt>
                <c:pt idx="1">
                  <c:v>6.0930441674194675</c:v>
                </c:pt>
                <c:pt idx="2">
                  <c:v>7.0197605121830531</c:v>
                </c:pt>
                <c:pt idx="3">
                  <c:v>7.0197605121830531</c:v>
                </c:pt>
                <c:pt idx="4">
                  <c:v>7.0529579035574228</c:v>
                </c:pt>
                <c:pt idx="5">
                  <c:v>7.2336992565956573</c:v>
                </c:pt>
                <c:pt idx="6">
                  <c:v>7.2336992565956573</c:v>
                </c:pt>
                <c:pt idx="7">
                  <c:v>7.2336992565956573</c:v>
                </c:pt>
                <c:pt idx="8">
                  <c:v>7.2937506808324022</c:v>
                </c:pt>
                <c:pt idx="9">
                  <c:v>7.2937506808324022</c:v>
                </c:pt>
                <c:pt idx="10">
                  <c:v>7.3551235349337842</c:v>
                </c:pt>
                <c:pt idx="11">
                  <c:v>7.3551235349337842</c:v>
                </c:pt>
                <c:pt idx="12">
                  <c:v>7.3687988689380495</c:v>
                </c:pt>
                <c:pt idx="13">
                  <c:v>7.3687988689380495</c:v>
                </c:pt>
                <c:pt idx="14">
                  <c:v>7.3781230894024317</c:v>
                </c:pt>
                <c:pt idx="15">
                  <c:v>7.3781230894024317</c:v>
                </c:pt>
                <c:pt idx="16">
                  <c:v>7.3790745404702252</c:v>
                </c:pt>
                <c:pt idx="17">
                  <c:v>7.3790745404702252</c:v>
                </c:pt>
                <c:pt idx="18">
                  <c:v>7.3793784367814306</c:v>
                </c:pt>
                <c:pt idx="19">
                  <c:v>7.3899617211901871</c:v>
                </c:pt>
                <c:pt idx="20">
                  <c:v>7.3899759219523924</c:v>
                </c:pt>
                <c:pt idx="21">
                  <c:v>7.3899787621048345</c:v>
                </c:pt>
                <c:pt idx="22">
                  <c:v>7.3927625738767526</c:v>
                </c:pt>
                <c:pt idx="23">
                  <c:v>7.3927625738767526</c:v>
                </c:pt>
                <c:pt idx="24">
                  <c:v>7.3929936330835622</c:v>
                </c:pt>
                <c:pt idx="25">
                  <c:v>7.3929936330835622</c:v>
                </c:pt>
                <c:pt idx="26">
                  <c:v>7.3929999455819102</c:v>
                </c:pt>
                <c:pt idx="27">
                  <c:v>7.3929999999999998</c:v>
                </c:pt>
              </c:numCache>
            </c:numRef>
          </c:yVal>
          <c:smooth val="0"/>
          <c:extLst>
            <c:ext xmlns:c16="http://schemas.microsoft.com/office/drawing/2014/chart" uri="{C3380CC4-5D6E-409C-BE32-E72D297353CC}">
              <c16:uniqueId val="{00000000-1791-40B8-BFEB-626F4E6961F5}"/>
            </c:ext>
          </c:extLst>
        </c:ser>
        <c:ser>
          <c:idx val="1"/>
          <c:order val="1"/>
          <c:tx>
            <c:v>variant 2</c:v>
          </c:tx>
          <c:spPr>
            <a:ln w="19050" cap="rnd">
              <a:solidFill>
                <a:srgbClr val="ED7703"/>
              </a:solidFill>
              <a:round/>
            </a:ln>
            <a:effectLst/>
          </c:spPr>
          <c:marker>
            <c:symbol val="circle"/>
            <c:size val="5"/>
            <c:spPr>
              <a:solidFill>
                <a:srgbClr val="ED7703"/>
              </a:solidFill>
              <a:ln w="9525">
                <a:solidFill>
                  <a:srgbClr val="ED7703"/>
                </a:solidFill>
              </a:ln>
              <a:effectLst/>
            </c:spPr>
          </c:marker>
          <c:xVal>
            <c:numRef>
              <c:f>'berekeningen variant 2'!$C$2:$AD$2</c:f>
              <c:numCache>
                <c:formatCode>General</c:formatCode>
                <c:ptCount val="28"/>
                <c:pt idx="0">
                  <c:v>300</c:v>
                </c:pt>
                <c:pt idx="1">
                  <c:v>380</c:v>
                </c:pt>
                <c:pt idx="2">
                  <c:v>390</c:v>
                </c:pt>
                <c:pt idx="3">
                  <c:v>459.99999999999994</c:v>
                </c:pt>
                <c:pt idx="4">
                  <c:v>470</c:v>
                </c:pt>
                <c:pt idx="5">
                  <c:v>480</c:v>
                </c:pt>
                <c:pt idx="6">
                  <c:v>509.99999999999994</c:v>
                </c:pt>
                <c:pt idx="7">
                  <c:v>550</c:v>
                </c:pt>
                <c:pt idx="8">
                  <c:v>560</c:v>
                </c:pt>
                <c:pt idx="9">
                  <c:v>590</c:v>
                </c:pt>
                <c:pt idx="10">
                  <c:v>600</c:v>
                </c:pt>
                <c:pt idx="11">
                  <c:v>630</c:v>
                </c:pt>
                <c:pt idx="12">
                  <c:v>640</c:v>
                </c:pt>
                <c:pt idx="13">
                  <c:v>669.99999999999989</c:v>
                </c:pt>
                <c:pt idx="14">
                  <c:v>680</c:v>
                </c:pt>
                <c:pt idx="15">
                  <c:v>710</c:v>
                </c:pt>
                <c:pt idx="16">
                  <c:v>720</c:v>
                </c:pt>
                <c:pt idx="17">
                  <c:v>749.99999999999989</c:v>
                </c:pt>
                <c:pt idx="18">
                  <c:v>760</c:v>
                </c:pt>
                <c:pt idx="19">
                  <c:v>770</c:v>
                </c:pt>
                <c:pt idx="20">
                  <c:v>800</c:v>
                </c:pt>
                <c:pt idx="21">
                  <c:v>840</c:v>
                </c:pt>
                <c:pt idx="22">
                  <c:v>850</c:v>
                </c:pt>
                <c:pt idx="23">
                  <c:v>920.00000000000011</c:v>
                </c:pt>
                <c:pt idx="24">
                  <c:v>930</c:v>
                </c:pt>
                <c:pt idx="25">
                  <c:v>1000.0000000000002</c:v>
                </c:pt>
                <c:pt idx="26">
                  <c:v>1010</c:v>
                </c:pt>
                <c:pt idx="27">
                  <c:v>1090</c:v>
                </c:pt>
              </c:numCache>
            </c:numRef>
          </c:xVal>
          <c:yVal>
            <c:numRef>
              <c:f>'berekeningen variant 2'!$C$52:$AD$52</c:f>
              <c:numCache>
                <c:formatCode>General</c:formatCode>
                <c:ptCount val="28"/>
                <c:pt idx="0">
                  <c:v>6.3285460729341736</c:v>
                </c:pt>
                <c:pt idx="1">
                  <c:v>6.3285460729341736</c:v>
                </c:pt>
                <c:pt idx="2">
                  <c:v>7.0792568002782916</c:v>
                </c:pt>
                <c:pt idx="3">
                  <c:v>7.0792568002782916</c:v>
                </c:pt>
                <c:pt idx="4">
                  <c:v>7.0945774273669473</c:v>
                </c:pt>
                <c:pt idx="5">
                  <c:v>7.1779897304051818</c:v>
                </c:pt>
                <c:pt idx="6">
                  <c:v>7.1779897304051818</c:v>
                </c:pt>
                <c:pt idx="7">
                  <c:v>7.1779897304051818</c:v>
                </c:pt>
                <c:pt idx="8">
                  <c:v>7.2791096949981364</c:v>
                </c:pt>
                <c:pt idx="9">
                  <c:v>7.2791096949981364</c:v>
                </c:pt>
                <c:pt idx="10">
                  <c:v>7.3287233442009017</c:v>
                </c:pt>
                <c:pt idx="11">
                  <c:v>7.3287233442009017</c:v>
                </c:pt>
                <c:pt idx="12">
                  <c:v>7.3560740122094304</c:v>
                </c:pt>
                <c:pt idx="13">
                  <c:v>7.3560740122094304</c:v>
                </c:pt>
                <c:pt idx="14">
                  <c:v>7.3636116868048633</c:v>
                </c:pt>
                <c:pt idx="15">
                  <c:v>7.3636116868048633</c:v>
                </c:pt>
                <c:pt idx="16">
                  <c:v>7.3655145889404503</c:v>
                </c:pt>
                <c:pt idx="17">
                  <c:v>7.3655145889404503</c:v>
                </c:pt>
                <c:pt idx="18">
                  <c:v>7.3657602578961958</c:v>
                </c:pt>
                <c:pt idx="19">
                  <c:v>7.3869268267137072</c:v>
                </c:pt>
                <c:pt idx="20">
                  <c:v>7.3869552282381195</c:v>
                </c:pt>
                <c:pt idx="21">
                  <c:v>7.3869575242096692</c:v>
                </c:pt>
                <c:pt idx="22">
                  <c:v>7.3925251477535037</c:v>
                </c:pt>
                <c:pt idx="23">
                  <c:v>7.3925251477535037</c:v>
                </c:pt>
                <c:pt idx="24">
                  <c:v>7.3929872661671228</c:v>
                </c:pt>
                <c:pt idx="25">
                  <c:v>7.3929872661671228</c:v>
                </c:pt>
                <c:pt idx="26">
                  <c:v>7.3929998911638206</c:v>
                </c:pt>
                <c:pt idx="27">
                  <c:v>7.3929999999999998</c:v>
                </c:pt>
              </c:numCache>
            </c:numRef>
          </c:yVal>
          <c:smooth val="0"/>
          <c:extLst>
            <c:ext xmlns:c16="http://schemas.microsoft.com/office/drawing/2014/chart" uri="{C3380CC4-5D6E-409C-BE32-E72D297353CC}">
              <c16:uniqueId val="{00000001-1791-40B8-BFEB-626F4E6961F5}"/>
            </c:ext>
          </c:extLst>
        </c:ser>
        <c:ser>
          <c:idx val="2"/>
          <c:order val="2"/>
          <c:tx>
            <c:v>streefcijfer</c:v>
          </c:tx>
          <c:spPr>
            <a:ln w="19050" cap="rnd">
              <a:solidFill>
                <a:schemeClr val="bg1">
                  <a:lumMod val="50000"/>
                </a:schemeClr>
              </a:solidFill>
              <a:round/>
            </a:ln>
            <a:effectLst/>
          </c:spPr>
          <c:marker>
            <c:symbol val="none"/>
          </c:marker>
          <c:xVal>
            <c:numRef>
              <c:f>'berekeningen variant 1'!$C$54:$D$54</c:f>
              <c:numCache>
                <c:formatCode>General</c:formatCode>
                <c:ptCount val="2"/>
                <c:pt idx="0">
                  <c:v>250</c:v>
                </c:pt>
                <c:pt idx="1">
                  <c:v>1140</c:v>
                </c:pt>
              </c:numCache>
            </c:numRef>
          </c:xVal>
          <c:yVal>
            <c:numRef>
              <c:f>'berekeningen variant 1'!$C$55:$D$55</c:f>
              <c:numCache>
                <c:formatCode>General</c:formatCode>
                <c:ptCount val="2"/>
                <c:pt idx="0">
                  <c:v>7</c:v>
                </c:pt>
                <c:pt idx="1">
                  <c:v>7</c:v>
                </c:pt>
              </c:numCache>
            </c:numRef>
          </c:yVal>
          <c:smooth val="0"/>
          <c:extLst>
            <c:ext xmlns:c16="http://schemas.microsoft.com/office/drawing/2014/chart" uri="{C3380CC4-5D6E-409C-BE32-E72D297353CC}">
              <c16:uniqueId val="{00000002-1791-40B8-BFEB-626F4E6961F5}"/>
            </c:ext>
          </c:extLst>
        </c:ser>
        <c:dLbls>
          <c:showLegendKey val="0"/>
          <c:showVal val="0"/>
          <c:showCatName val="0"/>
          <c:showSerName val="0"/>
          <c:showPercent val="0"/>
          <c:showBubbleSize val="0"/>
        </c:dLbls>
        <c:axId val="1101033440"/>
        <c:axId val="259198640"/>
      </c:scatterChart>
      <c:valAx>
        <c:axId val="1101033440"/>
        <c:scaling>
          <c:orientation val="minMax"/>
          <c:max val="800"/>
          <c:min val="30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effectieve rijbaanbreedte</a:t>
                </a:r>
                <a:r>
                  <a:rPr lang="nl-NL" baseline="0"/>
                  <a:t> (cm., incl rabatstroken)</a:t>
                </a:r>
                <a:endParaRPr lang="nl-NL"/>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259198640"/>
        <c:crosses val="autoZero"/>
        <c:crossBetween val="midCat"/>
      </c:valAx>
      <c:valAx>
        <c:axId val="259198640"/>
        <c:scaling>
          <c:orientation val="minMax"/>
          <c:max val="8"/>
          <c:min val="6"/>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nl-NL"/>
                  <a:t>gemiddeld</a:t>
                </a:r>
                <a:r>
                  <a:rPr lang="nl-NL" baseline="0"/>
                  <a:t> rapportcijfer</a:t>
                </a:r>
                <a:endParaRPr lang="nl-NL"/>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nl-NL"/>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01033440"/>
        <c:crosses val="autoZero"/>
        <c:crossBetween val="midCat"/>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gif"/></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gif"/></Relationships>
</file>

<file path=xl/drawings/_rels/drawing6.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editAs="oneCell">
    <xdr:from>
      <xdr:col>0</xdr:col>
      <xdr:colOff>80010</xdr:colOff>
      <xdr:row>0</xdr:row>
      <xdr:rowOff>186690</xdr:rowOff>
    </xdr:from>
    <xdr:to>
      <xdr:col>3</xdr:col>
      <xdr:colOff>32160</xdr:colOff>
      <xdr:row>0</xdr:row>
      <xdr:rowOff>726690</xdr:rowOff>
    </xdr:to>
    <xdr:pic>
      <xdr:nvPicPr>
        <xdr:cNvPr id="3" name="Afbeelding 2">
          <a:extLst>
            <a:ext uri="{FF2B5EF4-FFF2-40B4-BE49-F238E27FC236}">
              <a16:creationId xmlns:a16="http://schemas.microsoft.com/office/drawing/2014/main" id="{759E542A-3742-41E8-9CD6-6CE99D6EF3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0010" y="186690"/>
          <a:ext cx="1838100" cy="540000"/>
        </a:xfrm>
        <a:prstGeom prst="rect">
          <a:avLst/>
        </a:prstGeom>
      </xdr:spPr>
    </xdr:pic>
    <xdr:clientData/>
  </xdr:twoCellAnchor>
  <xdr:twoCellAnchor editAs="oneCell">
    <xdr:from>
      <xdr:col>8</xdr:col>
      <xdr:colOff>539112</xdr:colOff>
      <xdr:row>0</xdr:row>
      <xdr:rowOff>121920</xdr:rowOff>
    </xdr:from>
    <xdr:to>
      <xdr:col>10</xdr:col>
      <xdr:colOff>459887</xdr:colOff>
      <xdr:row>1</xdr:row>
      <xdr:rowOff>113820</xdr:rowOff>
    </xdr:to>
    <xdr:pic>
      <xdr:nvPicPr>
        <xdr:cNvPr id="7" name="Afbeelding 6">
          <a:extLst>
            <a:ext uri="{FF2B5EF4-FFF2-40B4-BE49-F238E27FC236}">
              <a16:creationId xmlns:a16="http://schemas.microsoft.com/office/drawing/2014/main" id="{40A82BB1-78A3-4B6A-83B0-E318D3EFDE2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568312" y="121920"/>
          <a:ext cx="1178075" cy="7843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45</xdr:row>
          <xdr:rowOff>0</xdr:rowOff>
        </xdr:from>
        <xdr:to>
          <xdr:col>9</xdr:col>
          <xdr:colOff>0</xdr:colOff>
          <xdr:row>67</xdr:row>
          <xdr:rowOff>67985</xdr:rowOff>
        </xdr:to>
        <xdr:pic>
          <xdr:nvPicPr>
            <xdr:cNvPr id="39" name="Afbeelding 38">
              <a:extLst>
                <a:ext uri="{FF2B5EF4-FFF2-40B4-BE49-F238E27FC236}">
                  <a16:creationId xmlns:a16="http://schemas.microsoft.com/office/drawing/2014/main" id="{02E9A739-D5AD-4B66-ABF7-4688F8B561BC}"/>
                </a:ext>
              </a:extLst>
            </xdr:cNvPr>
            <xdr:cNvPicPr>
              <a:picLocks noChangeAspect="1" noChangeArrowheads="1"/>
              <a:extLst>
                <a:ext uri="{84589F7E-364E-4C9E-8A38-B11213B215E9}">
                  <a14:cameraTool cellRange="optieLookup1" spid="_x0000_s4444"/>
                </a:ext>
              </a:extLst>
            </xdr:cNvPicPr>
          </xdr:nvPicPr>
          <xdr:blipFill>
            <a:blip xmlns:r="http://schemas.openxmlformats.org/officeDocument/2006/relationships" r:embed="rId1"/>
            <a:srcRect/>
            <a:stretch>
              <a:fillRect/>
            </a:stretch>
          </xdr:blipFill>
          <xdr:spPr bwMode="auto">
            <a:xfrm>
              <a:off x="581025" y="11144250"/>
              <a:ext cx="6762750" cy="363351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9</xdr:col>
          <xdr:colOff>0</xdr:colOff>
          <xdr:row>95</xdr:row>
          <xdr:rowOff>66875</xdr:rowOff>
        </xdr:to>
        <xdr:pic>
          <xdr:nvPicPr>
            <xdr:cNvPr id="40" name="Afbeelding 39">
              <a:extLst>
                <a:ext uri="{FF2B5EF4-FFF2-40B4-BE49-F238E27FC236}">
                  <a16:creationId xmlns:a16="http://schemas.microsoft.com/office/drawing/2014/main" id="{7B2328B2-D6CB-4F2F-B461-A27C8AF8FC25}"/>
                </a:ext>
              </a:extLst>
            </xdr:cNvPr>
            <xdr:cNvPicPr>
              <a:picLocks noChangeAspect="1" noChangeArrowheads="1"/>
              <a:extLst>
                <a:ext uri="{84589F7E-364E-4C9E-8A38-B11213B215E9}">
                  <a14:cameraTool cellRange="optieLookup2" spid="_x0000_s4445"/>
                </a:ext>
              </a:extLst>
            </xdr:cNvPicPr>
          </xdr:nvPicPr>
          <xdr:blipFill>
            <a:blip xmlns:r="http://schemas.openxmlformats.org/officeDocument/2006/relationships" r:embed="rId2"/>
            <a:srcRect/>
            <a:stretch>
              <a:fillRect/>
            </a:stretch>
          </xdr:blipFill>
          <xdr:spPr bwMode="auto">
            <a:xfrm>
              <a:off x="581025" y="15706725"/>
              <a:ext cx="6762750" cy="3632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609599</xdr:colOff>
      <xdr:row>71</xdr:row>
      <xdr:rowOff>0</xdr:rowOff>
    </xdr:from>
    <xdr:to>
      <xdr:col>6</xdr:col>
      <xdr:colOff>952499</xdr:colOff>
      <xdr:row>89</xdr:row>
      <xdr:rowOff>34290</xdr:rowOff>
    </xdr:to>
    <xdr:graphicFrame macro="">
      <xdr:nvGraphicFramePr>
        <xdr:cNvPr id="3" name="Grafiek 2">
          <a:extLst>
            <a:ext uri="{FF2B5EF4-FFF2-40B4-BE49-F238E27FC236}">
              <a16:creationId xmlns:a16="http://schemas.microsoft.com/office/drawing/2014/main" id="{CE9CC07C-660A-4BF5-8A58-1AC1DC5C2B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609599</xdr:colOff>
      <xdr:row>22</xdr:row>
      <xdr:rowOff>1</xdr:rowOff>
    </xdr:from>
    <xdr:to>
      <xdr:col>6</xdr:col>
      <xdr:colOff>952499</xdr:colOff>
      <xdr:row>43</xdr:row>
      <xdr:rowOff>0</xdr:rowOff>
    </xdr:to>
    <xdr:graphicFrame macro="">
      <xdr:nvGraphicFramePr>
        <xdr:cNvPr id="4" name="Grafiek 3">
          <a:extLst>
            <a:ext uri="{FF2B5EF4-FFF2-40B4-BE49-F238E27FC236}">
              <a16:creationId xmlns:a16="http://schemas.microsoft.com/office/drawing/2014/main" id="{884EDA50-0548-4E39-A786-602384F99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220345</xdr:colOff>
      <xdr:row>13</xdr:row>
      <xdr:rowOff>0</xdr:rowOff>
    </xdr:to>
    <xdr:grpSp>
      <xdr:nvGrpSpPr>
        <xdr:cNvPr id="2" name="Groep 1">
          <a:extLst>
            <a:ext uri="{FF2B5EF4-FFF2-40B4-BE49-F238E27FC236}">
              <a16:creationId xmlns:a16="http://schemas.microsoft.com/office/drawing/2014/main" id="{6A751D95-47A9-4A03-BDE3-DE0E1BD15E4B}"/>
            </a:ext>
          </a:extLst>
        </xdr:cNvPr>
        <xdr:cNvGrpSpPr>
          <a:grpSpLocks noChangeAspect="1"/>
        </xdr:cNvGrpSpPr>
      </xdr:nvGrpSpPr>
      <xdr:grpSpPr>
        <a:xfrm>
          <a:off x="0" y="603250"/>
          <a:ext cx="1503045" cy="1854200"/>
          <a:chOff x="2" y="0"/>
          <a:chExt cx="2520000" cy="3200401"/>
        </a:xfrm>
      </xdr:grpSpPr>
      <xdr:pic>
        <xdr:nvPicPr>
          <xdr:cNvPr id="3" name="Afbeelding 2">
            <a:extLst>
              <a:ext uri="{FF2B5EF4-FFF2-40B4-BE49-F238E27FC236}">
                <a16:creationId xmlns:a16="http://schemas.microsoft.com/office/drawing/2014/main" id="{44DC368F-A400-4A08-A4AD-9924ABE68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4" name="Afbeelding 3">
            <a:extLst>
              <a:ext uri="{FF2B5EF4-FFF2-40B4-BE49-F238E27FC236}">
                <a16:creationId xmlns:a16="http://schemas.microsoft.com/office/drawing/2014/main" id="{3768F25F-E1D6-4A0B-8DAD-E0E75F51D3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5" name="Rechte verbindingslijn 4">
            <a:extLst>
              <a:ext uri="{FF2B5EF4-FFF2-40B4-BE49-F238E27FC236}">
                <a16:creationId xmlns:a16="http://schemas.microsoft.com/office/drawing/2014/main" id="{3DC1F440-FB39-4DEA-9609-13384A456461}"/>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6" name="Rechte verbindingslijn 5">
            <a:extLst>
              <a:ext uri="{FF2B5EF4-FFF2-40B4-BE49-F238E27FC236}">
                <a16:creationId xmlns:a16="http://schemas.microsoft.com/office/drawing/2014/main" id="{564FB2DC-C1EF-40BB-9E5B-DCB46CA08C83}"/>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 name="Rechte verbindingslijn 6">
            <a:extLst>
              <a:ext uri="{FF2B5EF4-FFF2-40B4-BE49-F238E27FC236}">
                <a16:creationId xmlns:a16="http://schemas.microsoft.com/office/drawing/2014/main" id="{535EB26B-B638-4188-97B8-07131F48FB25}"/>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0</xdr:colOff>
      <xdr:row>16</xdr:row>
      <xdr:rowOff>1</xdr:rowOff>
    </xdr:from>
    <xdr:to>
      <xdr:col>2</xdr:col>
      <xdr:colOff>220345</xdr:colOff>
      <xdr:row>26</xdr:row>
      <xdr:rowOff>1</xdr:rowOff>
    </xdr:to>
    <xdr:grpSp>
      <xdr:nvGrpSpPr>
        <xdr:cNvPr id="8" name="Groep 7">
          <a:extLst>
            <a:ext uri="{FF2B5EF4-FFF2-40B4-BE49-F238E27FC236}">
              <a16:creationId xmlns:a16="http://schemas.microsoft.com/office/drawing/2014/main" id="{85204684-44BA-4A9C-BA91-11E1C2249B7B}"/>
            </a:ext>
          </a:extLst>
        </xdr:cNvPr>
        <xdr:cNvGrpSpPr>
          <a:grpSpLocks noChangeAspect="1"/>
        </xdr:cNvGrpSpPr>
      </xdr:nvGrpSpPr>
      <xdr:grpSpPr>
        <a:xfrm>
          <a:off x="0" y="2997201"/>
          <a:ext cx="1503045" cy="1854200"/>
          <a:chOff x="2" y="0"/>
          <a:chExt cx="2520000" cy="3200401"/>
        </a:xfrm>
      </xdr:grpSpPr>
      <xdr:pic>
        <xdr:nvPicPr>
          <xdr:cNvPr id="9" name="Afbeelding 8">
            <a:extLst>
              <a:ext uri="{FF2B5EF4-FFF2-40B4-BE49-F238E27FC236}">
                <a16:creationId xmlns:a16="http://schemas.microsoft.com/office/drawing/2014/main" id="{05E09201-72D2-4B8F-8790-8200DA7454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10" name="Afbeelding 9">
            <a:extLst>
              <a:ext uri="{FF2B5EF4-FFF2-40B4-BE49-F238E27FC236}">
                <a16:creationId xmlns:a16="http://schemas.microsoft.com/office/drawing/2014/main" id="{4C9432A4-DE9A-4ECC-A937-E4AC53EB71B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58946" y="1710068"/>
            <a:ext cx="2022593" cy="910167"/>
          </a:xfrm>
          <a:prstGeom prst="rect">
            <a:avLst/>
          </a:prstGeom>
        </xdr:spPr>
      </xdr:pic>
      <xdr:cxnSp macro="">
        <xdr:nvCxnSpPr>
          <xdr:cNvPr id="11" name="Rechte verbindingslijn 10">
            <a:extLst>
              <a:ext uri="{FF2B5EF4-FFF2-40B4-BE49-F238E27FC236}">
                <a16:creationId xmlns:a16="http://schemas.microsoft.com/office/drawing/2014/main" id="{D4D855BF-E103-4C52-AE69-23EECEB14BD9}"/>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12" name="Rechte verbindingslijn 11">
            <a:extLst>
              <a:ext uri="{FF2B5EF4-FFF2-40B4-BE49-F238E27FC236}">
                <a16:creationId xmlns:a16="http://schemas.microsoft.com/office/drawing/2014/main" id="{C49AABEE-9DC4-4753-B65F-41EB7088DD4B}"/>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13" name="Rechte verbindingslijn 12">
            <a:extLst>
              <a:ext uri="{FF2B5EF4-FFF2-40B4-BE49-F238E27FC236}">
                <a16:creationId xmlns:a16="http://schemas.microsoft.com/office/drawing/2014/main" id="{060E0718-5D7D-4AA1-A81B-35874CB2AE66}"/>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0</xdr:colOff>
      <xdr:row>29</xdr:row>
      <xdr:rowOff>0</xdr:rowOff>
    </xdr:from>
    <xdr:to>
      <xdr:col>2</xdr:col>
      <xdr:colOff>220345</xdr:colOff>
      <xdr:row>39</xdr:row>
      <xdr:rowOff>9525</xdr:rowOff>
    </xdr:to>
    <xdr:grpSp>
      <xdr:nvGrpSpPr>
        <xdr:cNvPr id="14" name="Groep 13">
          <a:extLst>
            <a:ext uri="{FF2B5EF4-FFF2-40B4-BE49-F238E27FC236}">
              <a16:creationId xmlns:a16="http://schemas.microsoft.com/office/drawing/2014/main" id="{70DC98B2-4D9D-4029-B67A-8B5474BE3719}"/>
            </a:ext>
          </a:extLst>
        </xdr:cNvPr>
        <xdr:cNvGrpSpPr>
          <a:grpSpLocks noChangeAspect="1"/>
        </xdr:cNvGrpSpPr>
      </xdr:nvGrpSpPr>
      <xdr:grpSpPr>
        <a:xfrm>
          <a:off x="0" y="5378450"/>
          <a:ext cx="1503045" cy="1831975"/>
          <a:chOff x="2" y="0"/>
          <a:chExt cx="2520000" cy="3200401"/>
        </a:xfrm>
      </xdr:grpSpPr>
      <xdr:pic>
        <xdr:nvPicPr>
          <xdr:cNvPr id="15" name="Afbeelding 14">
            <a:extLst>
              <a:ext uri="{FF2B5EF4-FFF2-40B4-BE49-F238E27FC236}">
                <a16:creationId xmlns:a16="http://schemas.microsoft.com/office/drawing/2014/main" id="{6131200E-A0C3-4750-8DF0-7D47B52CE9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16" name="Rechte verbindingslijn 15">
            <a:extLst>
              <a:ext uri="{FF2B5EF4-FFF2-40B4-BE49-F238E27FC236}">
                <a16:creationId xmlns:a16="http://schemas.microsoft.com/office/drawing/2014/main" id="{6F803B17-D79A-4B1F-8128-C51DD8E58911}"/>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17" name="Rechte verbindingslijn 16">
            <a:extLst>
              <a:ext uri="{FF2B5EF4-FFF2-40B4-BE49-F238E27FC236}">
                <a16:creationId xmlns:a16="http://schemas.microsoft.com/office/drawing/2014/main" id="{999D087F-4937-4085-A2BF-76A0E812AA3D}"/>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18" name="Rechte verbindingslijn 17">
            <a:extLst>
              <a:ext uri="{FF2B5EF4-FFF2-40B4-BE49-F238E27FC236}">
                <a16:creationId xmlns:a16="http://schemas.microsoft.com/office/drawing/2014/main" id="{001E1C0B-6D4D-475F-8F62-EF5B4442315C}"/>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19" name="Afbeelding 18">
            <a:extLst>
              <a:ext uri="{FF2B5EF4-FFF2-40B4-BE49-F238E27FC236}">
                <a16:creationId xmlns:a16="http://schemas.microsoft.com/office/drawing/2014/main" id="{892E9197-F183-4F73-9A82-2F91FB92F8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0</xdr:col>
      <xdr:colOff>0</xdr:colOff>
      <xdr:row>42</xdr:row>
      <xdr:rowOff>0</xdr:rowOff>
    </xdr:from>
    <xdr:to>
      <xdr:col>2</xdr:col>
      <xdr:colOff>220345</xdr:colOff>
      <xdr:row>52</xdr:row>
      <xdr:rowOff>0</xdr:rowOff>
    </xdr:to>
    <xdr:grpSp>
      <xdr:nvGrpSpPr>
        <xdr:cNvPr id="26" name="Groep 25">
          <a:extLst>
            <a:ext uri="{FF2B5EF4-FFF2-40B4-BE49-F238E27FC236}">
              <a16:creationId xmlns:a16="http://schemas.microsoft.com/office/drawing/2014/main" id="{E3E01FD0-9526-4ADB-B396-9231059A2047}"/>
            </a:ext>
          </a:extLst>
        </xdr:cNvPr>
        <xdr:cNvGrpSpPr>
          <a:grpSpLocks noChangeAspect="1"/>
        </xdr:cNvGrpSpPr>
      </xdr:nvGrpSpPr>
      <xdr:grpSpPr>
        <a:xfrm>
          <a:off x="0" y="7702550"/>
          <a:ext cx="1503045" cy="1695450"/>
          <a:chOff x="2" y="0"/>
          <a:chExt cx="2520000" cy="3200401"/>
        </a:xfrm>
      </xdr:grpSpPr>
      <xdr:pic>
        <xdr:nvPicPr>
          <xdr:cNvPr id="27" name="Afbeelding 26">
            <a:extLst>
              <a:ext uri="{FF2B5EF4-FFF2-40B4-BE49-F238E27FC236}">
                <a16:creationId xmlns:a16="http://schemas.microsoft.com/office/drawing/2014/main" id="{04066C45-E1B0-4C95-9DCB-178CCA3831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cxnSp macro="">
        <xdr:nvCxnSpPr>
          <xdr:cNvPr id="28" name="Rechte verbindingslijn 27">
            <a:extLst>
              <a:ext uri="{FF2B5EF4-FFF2-40B4-BE49-F238E27FC236}">
                <a16:creationId xmlns:a16="http://schemas.microsoft.com/office/drawing/2014/main" id="{F06B883E-04D4-4177-81B1-E41D19207CD6}"/>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29" name="Rechte verbindingslijn 28">
            <a:extLst>
              <a:ext uri="{FF2B5EF4-FFF2-40B4-BE49-F238E27FC236}">
                <a16:creationId xmlns:a16="http://schemas.microsoft.com/office/drawing/2014/main" id="{BD16341F-1953-46AD-AE8E-151D1AAF3F17}"/>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30" name="Rechte verbindingslijn 29">
            <a:extLst>
              <a:ext uri="{FF2B5EF4-FFF2-40B4-BE49-F238E27FC236}">
                <a16:creationId xmlns:a16="http://schemas.microsoft.com/office/drawing/2014/main" id="{4398E866-7E4C-491E-8ECF-2A9D0CBD1C94}"/>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31" name="Afbeelding 30">
            <a:extLst>
              <a:ext uri="{FF2B5EF4-FFF2-40B4-BE49-F238E27FC236}">
                <a16:creationId xmlns:a16="http://schemas.microsoft.com/office/drawing/2014/main" id="{8ACD43B2-6419-45D7-A1FF-9980BB9B6E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15</xdr:col>
      <xdr:colOff>0</xdr:colOff>
      <xdr:row>3</xdr:row>
      <xdr:rowOff>0</xdr:rowOff>
    </xdr:from>
    <xdr:to>
      <xdr:col>17</xdr:col>
      <xdr:colOff>220345</xdr:colOff>
      <xdr:row>13</xdr:row>
      <xdr:rowOff>9525</xdr:rowOff>
    </xdr:to>
    <xdr:grpSp>
      <xdr:nvGrpSpPr>
        <xdr:cNvPr id="32" name="Groep 31">
          <a:extLst>
            <a:ext uri="{FF2B5EF4-FFF2-40B4-BE49-F238E27FC236}">
              <a16:creationId xmlns:a16="http://schemas.microsoft.com/office/drawing/2014/main" id="{343F9799-E5F3-45BE-8351-B65B785F2721}"/>
            </a:ext>
          </a:extLst>
        </xdr:cNvPr>
        <xdr:cNvGrpSpPr>
          <a:grpSpLocks noChangeAspect="1"/>
        </xdr:cNvGrpSpPr>
      </xdr:nvGrpSpPr>
      <xdr:grpSpPr>
        <a:xfrm>
          <a:off x="11055350" y="603250"/>
          <a:ext cx="1503045" cy="1863725"/>
          <a:chOff x="2" y="0"/>
          <a:chExt cx="2520000" cy="3200401"/>
        </a:xfrm>
      </xdr:grpSpPr>
      <xdr:pic>
        <xdr:nvPicPr>
          <xdr:cNvPr id="33" name="Afbeelding 32">
            <a:extLst>
              <a:ext uri="{FF2B5EF4-FFF2-40B4-BE49-F238E27FC236}">
                <a16:creationId xmlns:a16="http://schemas.microsoft.com/office/drawing/2014/main" id="{DE33455C-C62D-49A2-B795-48DAE6E2EA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34" name="Afbeelding 33">
            <a:extLst>
              <a:ext uri="{FF2B5EF4-FFF2-40B4-BE49-F238E27FC236}">
                <a16:creationId xmlns:a16="http://schemas.microsoft.com/office/drawing/2014/main" id="{D87CD0FE-77C9-4E38-8C03-7ACF550AD46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35" name="Rechte verbindingslijn 34">
            <a:extLst>
              <a:ext uri="{FF2B5EF4-FFF2-40B4-BE49-F238E27FC236}">
                <a16:creationId xmlns:a16="http://schemas.microsoft.com/office/drawing/2014/main" id="{618A767F-6503-42DD-8203-2852FBCE80C5}"/>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36" name="Rechte verbindingslijn 35">
            <a:extLst>
              <a:ext uri="{FF2B5EF4-FFF2-40B4-BE49-F238E27FC236}">
                <a16:creationId xmlns:a16="http://schemas.microsoft.com/office/drawing/2014/main" id="{6E57E743-E4A4-43BE-AA22-9F53F324EE85}"/>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37" name="Rechte verbindingslijn 36">
            <a:extLst>
              <a:ext uri="{FF2B5EF4-FFF2-40B4-BE49-F238E27FC236}">
                <a16:creationId xmlns:a16="http://schemas.microsoft.com/office/drawing/2014/main" id="{ABF17C8F-3951-4F56-99AE-19CBACF2E8C6}"/>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38" name="Afbeelding 37">
            <a:extLst>
              <a:ext uri="{FF2B5EF4-FFF2-40B4-BE49-F238E27FC236}">
                <a16:creationId xmlns:a16="http://schemas.microsoft.com/office/drawing/2014/main" id="{EC24558C-B2E6-4BA1-A814-0B1BE76579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15</xdr:col>
      <xdr:colOff>0</xdr:colOff>
      <xdr:row>16</xdr:row>
      <xdr:rowOff>0</xdr:rowOff>
    </xdr:from>
    <xdr:to>
      <xdr:col>17</xdr:col>
      <xdr:colOff>220345</xdr:colOff>
      <xdr:row>26</xdr:row>
      <xdr:rowOff>9525</xdr:rowOff>
    </xdr:to>
    <xdr:grpSp>
      <xdr:nvGrpSpPr>
        <xdr:cNvPr id="39" name="Groep 38">
          <a:extLst>
            <a:ext uri="{FF2B5EF4-FFF2-40B4-BE49-F238E27FC236}">
              <a16:creationId xmlns:a16="http://schemas.microsoft.com/office/drawing/2014/main" id="{C06D84D6-08AC-4A2B-A8A8-FB2419D08909}"/>
            </a:ext>
          </a:extLst>
        </xdr:cNvPr>
        <xdr:cNvGrpSpPr>
          <a:grpSpLocks noChangeAspect="1"/>
        </xdr:cNvGrpSpPr>
      </xdr:nvGrpSpPr>
      <xdr:grpSpPr>
        <a:xfrm>
          <a:off x="11055350" y="2997200"/>
          <a:ext cx="1503045" cy="1863725"/>
          <a:chOff x="2" y="0"/>
          <a:chExt cx="2520000" cy="3200401"/>
        </a:xfrm>
      </xdr:grpSpPr>
      <xdr:pic>
        <xdr:nvPicPr>
          <xdr:cNvPr id="40" name="Afbeelding 39">
            <a:extLst>
              <a:ext uri="{FF2B5EF4-FFF2-40B4-BE49-F238E27FC236}">
                <a16:creationId xmlns:a16="http://schemas.microsoft.com/office/drawing/2014/main" id="{842AE70A-6014-4B3B-BD3E-29D5DE2DBA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41" name="Afbeelding 40">
            <a:extLst>
              <a:ext uri="{FF2B5EF4-FFF2-40B4-BE49-F238E27FC236}">
                <a16:creationId xmlns:a16="http://schemas.microsoft.com/office/drawing/2014/main" id="{6EA9AC8D-182F-47B0-8C4C-5F7ED59AC8F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42" name="Rechte verbindingslijn 41">
            <a:extLst>
              <a:ext uri="{FF2B5EF4-FFF2-40B4-BE49-F238E27FC236}">
                <a16:creationId xmlns:a16="http://schemas.microsoft.com/office/drawing/2014/main" id="{E0239D8E-6B4E-4610-B803-3DF945EF86D5}"/>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43" name="Rechte verbindingslijn 42">
            <a:extLst>
              <a:ext uri="{FF2B5EF4-FFF2-40B4-BE49-F238E27FC236}">
                <a16:creationId xmlns:a16="http://schemas.microsoft.com/office/drawing/2014/main" id="{3E8F84BF-8D82-4746-9A18-18FA2DD8D5A5}"/>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44" name="Rechte verbindingslijn 43">
            <a:extLst>
              <a:ext uri="{FF2B5EF4-FFF2-40B4-BE49-F238E27FC236}">
                <a16:creationId xmlns:a16="http://schemas.microsoft.com/office/drawing/2014/main" id="{F0D6ABAD-6241-463C-B43B-F99F67831397}"/>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45" name="Afbeelding 44">
            <a:extLst>
              <a:ext uri="{FF2B5EF4-FFF2-40B4-BE49-F238E27FC236}">
                <a16:creationId xmlns:a16="http://schemas.microsoft.com/office/drawing/2014/main" id="{BFEC6BF1-30E5-4A25-94E5-60310A9E3B1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15</xdr:col>
      <xdr:colOff>0</xdr:colOff>
      <xdr:row>29</xdr:row>
      <xdr:rowOff>1</xdr:rowOff>
    </xdr:from>
    <xdr:to>
      <xdr:col>17</xdr:col>
      <xdr:colOff>220345</xdr:colOff>
      <xdr:row>39</xdr:row>
      <xdr:rowOff>1</xdr:rowOff>
    </xdr:to>
    <xdr:grpSp>
      <xdr:nvGrpSpPr>
        <xdr:cNvPr id="46" name="Groep 45">
          <a:extLst>
            <a:ext uri="{FF2B5EF4-FFF2-40B4-BE49-F238E27FC236}">
              <a16:creationId xmlns:a16="http://schemas.microsoft.com/office/drawing/2014/main" id="{3D8E929F-2BC0-4D13-81EF-4B2858BFAFB5}"/>
            </a:ext>
          </a:extLst>
        </xdr:cNvPr>
        <xdr:cNvGrpSpPr>
          <a:grpSpLocks noChangeAspect="1"/>
        </xdr:cNvGrpSpPr>
      </xdr:nvGrpSpPr>
      <xdr:grpSpPr>
        <a:xfrm>
          <a:off x="11055350" y="5378451"/>
          <a:ext cx="1503045" cy="1822450"/>
          <a:chOff x="2" y="0"/>
          <a:chExt cx="2520000" cy="3200401"/>
        </a:xfrm>
      </xdr:grpSpPr>
      <xdr:pic>
        <xdr:nvPicPr>
          <xdr:cNvPr id="47" name="Afbeelding 46">
            <a:extLst>
              <a:ext uri="{FF2B5EF4-FFF2-40B4-BE49-F238E27FC236}">
                <a16:creationId xmlns:a16="http://schemas.microsoft.com/office/drawing/2014/main" id="{3D82297A-4DB2-416D-B8BD-FA8F303E67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48" name="Afbeelding 47">
            <a:extLst>
              <a:ext uri="{FF2B5EF4-FFF2-40B4-BE49-F238E27FC236}">
                <a16:creationId xmlns:a16="http://schemas.microsoft.com/office/drawing/2014/main" id="{0DB068FD-55E6-4C2B-9BB1-C4B9FB7D7DA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49" name="Rechte verbindingslijn 48">
            <a:extLst>
              <a:ext uri="{FF2B5EF4-FFF2-40B4-BE49-F238E27FC236}">
                <a16:creationId xmlns:a16="http://schemas.microsoft.com/office/drawing/2014/main" id="{6311E7FD-ABC4-43CC-A9C5-8FABFB6221DF}"/>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50" name="Rechte verbindingslijn 49">
            <a:extLst>
              <a:ext uri="{FF2B5EF4-FFF2-40B4-BE49-F238E27FC236}">
                <a16:creationId xmlns:a16="http://schemas.microsoft.com/office/drawing/2014/main" id="{780BE349-89BE-4965-8BEC-716DB7055C82}"/>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51" name="Rechte verbindingslijn 50">
            <a:extLst>
              <a:ext uri="{FF2B5EF4-FFF2-40B4-BE49-F238E27FC236}">
                <a16:creationId xmlns:a16="http://schemas.microsoft.com/office/drawing/2014/main" id="{5FA6E672-22CA-4C94-ADCA-2A3F72EB3392}"/>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52" name="Afbeelding 51">
            <a:extLst>
              <a:ext uri="{FF2B5EF4-FFF2-40B4-BE49-F238E27FC236}">
                <a16:creationId xmlns:a16="http://schemas.microsoft.com/office/drawing/2014/main" id="{5A5C4FB0-345E-4AEE-AABA-A1731C783E9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pic>
        <xdr:nvPicPr>
          <xdr:cNvPr id="53" name="Afbeelding 52">
            <a:extLst>
              <a:ext uri="{FF2B5EF4-FFF2-40B4-BE49-F238E27FC236}">
                <a16:creationId xmlns:a16="http://schemas.microsoft.com/office/drawing/2014/main" id="{A565F81F-0880-4C04-85F7-FEEBA3BFD6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4601"/>
            <a:ext cx="922867" cy="483000"/>
          </a:xfrm>
          <a:prstGeom prst="rect">
            <a:avLst/>
          </a:prstGeom>
        </xdr:spPr>
      </xdr:pic>
    </xdr:grpSp>
    <xdr:clientData/>
  </xdr:twoCellAnchor>
  <xdr:twoCellAnchor>
    <xdr:from>
      <xdr:col>28</xdr:col>
      <xdr:colOff>0</xdr:colOff>
      <xdr:row>3</xdr:row>
      <xdr:rowOff>0</xdr:rowOff>
    </xdr:from>
    <xdr:to>
      <xdr:col>30</xdr:col>
      <xdr:colOff>220345</xdr:colOff>
      <xdr:row>13</xdr:row>
      <xdr:rowOff>0</xdr:rowOff>
    </xdr:to>
    <xdr:grpSp>
      <xdr:nvGrpSpPr>
        <xdr:cNvPr id="54" name="Groep 53">
          <a:extLst>
            <a:ext uri="{FF2B5EF4-FFF2-40B4-BE49-F238E27FC236}">
              <a16:creationId xmlns:a16="http://schemas.microsoft.com/office/drawing/2014/main" id="{F4DA564C-6BF8-4D4A-9EFC-3956FECE16F7}"/>
            </a:ext>
          </a:extLst>
        </xdr:cNvPr>
        <xdr:cNvGrpSpPr>
          <a:grpSpLocks noChangeAspect="1"/>
        </xdr:cNvGrpSpPr>
      </xdr:nvGrpSpPr>
      <xdr:grpSpPr>
        <a:xfrm>
          <a:off x="20828000" y="603250"/>
          <a:ext cx="1503045" cy="1854200"/>
          <a:chOff x="2" y="0"/>
          <a:chExt cx="2520000" cy="3200401"/>
        </a:xfrm>
      </xdr:grpSpPr>
      <xdr:pic>
        <xdr:nvPicPr>
          <xdr:cNvPr id="55" name="Afbeelding 54">
            <a:extLst>
              <a:ext uri="{FF2B5EF4-FFF2-40B4-BE49-F238E27FC236}">
                <a16:creationId xmlns:a16="http://schemas.microsoft.com/office/drawing/2014/main" id="{9825461C-AFB0-4DB0-A6EE-104BECECA49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56" name="Afbeelding 55">
            <a:extLst>
              <a:ext uri="{FF2B5EF4-FFF2-40B4-BE49-F238E27FC236}">
                <a16:creationId xmlns:a16="http://schemas.microsoft.com/office/drawing/2014/main" id="{D6CCBAAB-1EBB-4E46-9D2A-4C6C18B5AD5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57" name="Rechte verbindingslijn 56">
            <a:extLst>
              <a:ext uri="{FF2B5EF4-FFF2-40B4-BE49-F238E27FC236}">
                <a16:creationId xmlns:a16="http://schemas.microsoft.com/office/drawing/2014/main" id="{83B8A56E-9295-4240-8903-D0F8E019521C}"/>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58" name="Rechte verbindingslijn 57">
            <a:extLst>
              <a:ext uri="{FF2B5EF4-FFF2-40B4-BE49-F238E27FC236}">
                <a16:creationId xmlns:a16="http://schemas.microsoft.com/office/drawing/2014/main" id="{E17C2513-10E0-4DC9-B03F-67300A4C9667}"/>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59" name="Rechte verbindingslijn 58">
            <a:extLst>
              <a:ext uri="{FF2B5EF4-FFF2-40B4-BE49-F238E27FC236}">
                <a16:creationId xmlns:a16="http://schemas.microsoft.com/office/drawing/2014/main" id="{EA70554D-7791-4458-B5B2-85BD38DFA21D}"/>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28</xdr:col>
      <xdr:colOff>0</xdr:colOff>
      <xdr:row>16</xdr:row>
      <xdr:rowOff>0</xdr:rowOff>
    </xdr:from>
    <xdr:to>
      <xdr:col>30</xdr:col>
      <xdr:colOff>220345</xdr:colOff>
      <xdr:row>26</xdr:row>
      <xdr:rowOff>0</xdr:rowOff>
    </xdr:to>
    <xdr:grpSp>
      <xdr:nvGrpSpPr>
        <xdr:cNvPr id="60" name="Groep 59">
          <a:extLst>
            <a:ext uri="{FF2B5EF4-FFF2-40B4-BE49-F238E27FC236}">
              <a16:creationId xmlns:a16="http://schemas.microsoft.com/office/drawing/2014/main" id="{41BACF6A-4143-4EB3-8F93-67ADDA7D35E7}"/>
            </a:ext>
          </a:extLst>
        </xdr:cNvPr>
        <xdr:cNvGrpSpPr>
          <a:grpSpLocks noChangeAspect="1"/>
        </xdr:cNvGrpSpPr>
      </xdr:nvGrpSpPr>
      <xdr:grpSpPr>
        <a:xfrm>
          <a:off x="20828000" y="2997200"/>
          <a:ext cx="1503045" cy="1854200"/>
          <a:chOff x="2" y="0"/>
          <a:chExt cx="2520000" cy="3200401"/>
        </a:xfrm>
      </xdr:grpSpPr>
      <xdr:pic>
        <xdr:nvPicPr>
          <xdr:cNvPr id="61" name="Afbeelding 60">
            <a:extLst>
              <a:ext uri="{FF2B5EF4-FFF2-40B4-BE49-F238E27FC236}">
                <a16:creationId xmlns:a16="http://schemas.microsoft.com/office/drawing/2014/main" id="{D8A97635-17FF-48DB-9E46-62DF4848784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62" name="Afbeelding 61">
            <a:extLst>
              <a:ext uri="{FF2B5EF4-FFF2-40B4-BE49-F238E27FC236}">
                <a16:creationId xmlns:a16="http://schemas.microsoft.com/office/drawing/2014/main" id="{05C010F4-E291-4935-A422-8EA6EF532B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58946" y="1710068"/>
            <a:ext cx="2022593" cy="910167"/>
          </a:xfrm>
          <a:prstGeom prst="rect">
            <a:avLst/>
          </a:prstGeom>
        </xdr:spPr>
      </xdr:pic>
      <xdr:cxnSp macro="">
        <xdr:nvCxnSpPr>
          <xdr:cNvPr id="63" name="Rechte verbindingslijn 62">
            <a:extLst>
              <a:ext uri="{FF2B5EF4-FFF2-40B4-BE49-F238E27FC236}">
                <a16:creationId xmlns:a16="http://schemas.microsoft.com/office/drawing/2014/main" id="{3521EC0D-E6F9-4C31-901B-87396FE0DA7C}"/>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64" name="Rechte verbindingslijn 63">
            <a:extLst>
              <a:ext uri="{FF2B5EF4-FFF2-40B4-BE49-F238E27FC236}">
                <a16:creationId xmlns:a16="http://schemas.microsoft.com/office/drawing/2014/main" id="{BF30B0AA-181D-4EF3-B2B8-8398C43C668D}"/>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65" name="Rechte verbindingslijn 64">
            <a:extLst>
              <a:ext uri="{FF2B5EF4-FFF2-40B4-BE49-F238E27FC236}">
                <a16:creationId xmlns:a16="http://schemas.microsoft.com/office/drawing/2014/main" id="{A8CB9370-B4B6-4671-BAE3-777BC78F6520}"/>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28</xdr:col>
      <xdr:colOff>0</xdr:colOff>
      <xdr:row>29</xdr:row>
      <xdr:rowOff>0</xdr:rowOff>
    </xdr:from>
    <xdr:to>
      <xdr:col>30</xdr:col>
      <xdr:colOff>220345</xdr:colOff>
      <xdr:row>38</xdr:row>
      <xdr:rowOff>47625</xdr:rowOff>
    </xdr:to>
    <xdr:grpSp>
      <xdr:nvGrpSpPr>
        <xdr:cNvPr id="66" name="Groep 65">
          <a:extLst>
            <a:ext uri="{FF2B5EF4-FFF2-40B4-BE49-F238E27FC236}">
              <a16:creationId xmlns:a16="http://schemas.microsoft.com/office/drawing/2014/main" id="{809AD05F-BFAC-45BA-A03F-2BFCE4186028}"/>
            </a:ext>
          </a:extLst>
        </xdr:cNvPr>
        <xdr:cNvGrpSpPr>
          <a:grpSpLocks noChangeAspect="1"/>
        </xdr:cNvGrpSpPr>
      </xdr:nvGrpSpPr>
      <xdr:grpSpPr>
        <a:xfrm>
          <a:off x="20828000" y="5378450"/>
          <a:ext cx="1503045" cy="1685925"/>
          <a:chOff x="2" y="0"/>
          <a:chExt cx="2520000" cy="3200401"/>
        </a:xfrm>
      </xdr:grpSpPr>
      <xdr:pic>
        <xdr:nvPicPr>
          <xdr:cNvPr id="67" name="Afbeelding 66">
            <a:extLst>
              <a:ext uri="{FF2B5EF4-FFF2-40B4-BE49-F238E27FC236}">
                <a16:creationId xmlns:a16="http://schemas.microsoft.com/office/drawing/2014/main" id="{04F65A29-5D23-409B-8DFB-DE9B813060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cxnSp macro="">
        <xdr:nvCxnSpPr>
          <xdr:cNvPr id="68" name="Rechte verbindingslijn 67">
            <a:extLst>
              <a:ext uri="{FF2B5EF4-FFF2-40B4-BE49-F238E27FC236}">
                <a16:creationId xmlns:a16="http://schemas.microsoft.com/office/drawing/2014/main" id="{F6AEAA07-8DB3-4240-87F5-79403480A0B8}"/>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69" name="Rechte verbindingslijn 68">
            <a:extLst>
              <a:ext uri="{FF2B5EF4-FFF2-40B4-BE49-F238E27FC236}">
                <a16:creationId xmlns:a16="http://schemas.microsoft.com/office/drawing/2014/main" id="{99385896-A7E2-4231-9179-017FB2FAD18B}"/>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0" name="Rechte verbindingslijn 69">
            <a:extLst>
              <a:ext uri="{FF2B5EF4-FFF2-40B4-BE49-F238E27FC236}">
                <a16:creationId xmlns:a16="http://schemas.microsoft.com/office/drawing/2014/main" id="{FC13A185-2131-4D6C-B126-8D44A02583CF}"/>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71" name="Afbeelding 70">
            <a:extLst>
              <a:ext uri="{FF2B5EF4-FFF2-40B4-BE49-F238E27FC236}">
                <a16:creationId xmlns:a16="http://schemas.microsoft.com/office/drawing/2014/main" id="{4F748136-F2CB-4A04-BAE6-EB2679650C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35</xdr:col>
      <xdr:colOff>0</xdr:colOff>
      <xdr:row>3</xdr:row>
      <xdr:rowOff>0</xdr:rowOff>
    </xdr:from>
    <xdr:to>
      <xdr:col>37</xdr:col>
      <xdr:colOff>220345</xdr:colOff>
      <xdr:row>12</xdr:row>
      <xdr:rowOff>114300</xdr:rowOff>
    </xdr:to>
    <xdr:grpSp>
      <xdr:nvGrpSpPr>
        <xdr:cNvPr id="72" name="Groep 71">
          <a:extLst>
            <a:ext uri="{FF2B5EF4-FFF2-40B4-BE49-F238E27FC236}">
              <a16:creationId xmlns:a16="http://schemas.microsoft.com/office/drawing/2014/main" id="{A6D3DF12-B5D5-48D2-9967-0E6F8569C4C1}"/>
            </a:ext>
          </a:extLst>
        </xdr:cNvPr>
        <xdr:cNvGrpSpPr>
          <a:grpSpLocks noChangeAspect="1"/>
        </xdr:cNvGrpSpPr>
      </xdr:nvGrpSpPr>
      <xdr:grpSpPr>
        <a:xfrm>
          <a:off x="28467050" y="603250"/>
          <a:ext cx="1503045" cy="1784350"/>
          <a:chOff x="2" y="0"/>
          <a:chExt cx="2520000" cy="3200401"/>
        </a:xfrm>
      </xdr:grpSpPr>
      <xdr:pic>
        <xdr:nvPicPr>
          <xdr:cNvPr id="73" name="Afbeelding 72">
            <a:extLst>
              <a:ext uri="{FF2B5EF4-FFF2-40B4-BE49-F238E27FC236}">
                <a16:creationId xmlns:a16="http://schemas.microsoft.com/office/drawing/2014/main" id="{8AAED863-67AD-4C27-8114-015926DF7E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74" name="Afbeelding 73">
            <a:extLst>
              <a:ext uri="{FF2B5EF4-FFF2-40B4-BE49-F238E27FC236}">
                <a16:creationId xmlns:a16="http://schemas.microsoft.com/office/drawing/2014/main" id="{5B776DE0-4E17-432C-9842-10B4ED153DD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75" name="Rechte verbindingslijn 74">
            <a:extLst>
              <a:ext uri="{FF2B5EF4-FFF2-40B4-BE49-F238E27FC236}">
                <a16:creationId xmlns:a16="http://schemas.microsoft.com/office/drawing/2014/main" id="{982F1E02-9E40-42BE-9483-AE0A7AA6E8FB}"/>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76" name="Rechte verbindingslijn 75">
            <a:extLst>
              <a:ext uri="{FF2B5EF4-FFF2-40B4-BE49-F238E27FC236}">
                <a16:creationId xmlns:a16="http://schemas.microsoft.com/office/drawing/2014/main" id="{A5E9DBC6-B695-483B-8C93-ABADF01BCE05}"/>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7" name="Rechte verbindingslijn 76">
            <a:extLst>
              <a:ext uri="{FF2B5EF4-FFF2-40B4-BE49-F238E27FC236}">
                <a16:creationId xmlns:a16="http://schemas.microsoft.com/office/drawing/2014/main" id="{97CA0B7C-22D2-405A-A973-60A4E1140EA0}"/>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78" name="Afbeelding 77">
            <a:extLst>
              <a:ext uri="{FF2B5EF4-FFF2-40B4-BE49-F238E27FC236}">
                <a16:creationId xmlns:a16="http://schemas.microsoft.com/office/drawing/2014/main" id="{2AAE0587-1EBC-4DB7-8CDC-9BA501D7BB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35</xdr:col>
      <xdr:colOff>0</xdr:colOff>
      <xdr:row>16</xdr:row>
      <xdr:rowOff>0</xdr:rowOff>
    </xdr:from>
    <xdr:to>
      <xdr:col>37</xdr:col>
      <xdr:colOff>220345</xdr:colOff>
      <xdr:row>25</xdr:row>
      <xdr:rowOff>114300</xdr:rowOff>
    </xdr:to>
    <xdr:grpSp>
      <xdr:nvGrpSpPr>
        <xdr:cNvPr id="79" name="Groep 78">
          <a:extLst>
            <a:ext uri="{FF2B5EF4-FFF2-40B4-BE49-F238E27FC236}">
              <a16:creationId xmlns:a16="http://schemas.microsoft.com/office/drawing/2014/main" id="{AED6FCDC-8BFC-474A-ADD7-7F0682C358B5}"/>
            </a:ext>
          </a:extLst>
        </xdr:cNvPr>
        <xdr:cNvGrpSpPr>
          <a:grpSpLocks noChangeAspect="1"/>
        </xdr:cNvGrpSpPr>
      </xdr:nvGrpSpPr>
      <xdr:grpSpPr>
        <a:xfrm>
          <a:off x="28467050" y="2997200"/>
          <a:ext cx="1503045" cy="1784350"/>
          <a:chOff x="2" y="0"/>
          <a:chExt cx="2520000" cy="3200401"/>
        </a:xfrm>
      </xdr:grpSpPr>
      <xdr:pic>
        <xdr:nvPicPr>
          <xdr:cNvPr id="80" name="Afbeelding 79">
            <a:extLst>
              <a:ext uri="{FF2B5EF4-FFF2-40B4-BE49-F238E27FC236}">
                <a16:creationId xmlns:a16="http://schemas.microsoft.com/office/drawing/2014/main" id="{FD659ACF-A498-4D48-9965-5F88B871B2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81" name="Afbeelding 80">
            <a:extLst>
              <a:ext uri="{FF2B5EF4-FFF2-40B4-BE49-F238E27FC236}">
                <a16:creationId xmlns:a16="http://schemas.microsoft.com/office/drawing/2014/main" id="{12882D04-B742-4263-81DE-FAABD0F6CB0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82" name="Rechte verbindingslijn 81">
            <a:extLst>
              <a:ext uri="{FF2B5EF4-FFF2-40B4-BE49-F238E27FC236}">
                <a16:creationId xmlns:a16="http://schemas.microsoft.com/office/drawing/2014/main" id="{EC51DAC3-1111-49D0-842B-294E439825B1}"/>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83" name="Rechte verbindingslijn 82">
            <a:extLst>
              <a:ext uri="{FF2B5EF4-FFF2-40B4-BE49-F238E27FC236}">
                <a16:creationId xmlns:a16="http://schemas.microsoft.com/office/drawing/2014/main" id="{1441E221-C265-44AE-BD0F-41490990A693}"/>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84" name="Rechte verbindingslijn 83">
            <a:extLst>
              <a:ext uri="{FF2B5EF4-FFF2-40B4-BE49-F238E27FC236}">
                <a16:creationId xmlns:a16="http://schemas.microsoft.com/office/drawing/2014/main" id="{09DF7CCB-870D-4C47-93B1-CA8B821670C7}"/>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85" name="Afbeelding 84">
            <a:extLst>
              <a:ext uri="{FF2B5EF4-FFF2-40B4-BE49-F238E27FC236}">
                <a16:creationId xmlns:a16="http://schemas.microsoft.com/office/drawing/2014/main" id="{6BF33374-EB7C-454C-83CF-7576C45AE21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35</xdr:col>
      <xdr:colOff>0</xdr:colOff>
      <xdr:row>29</xdr:row>
      <xdr:rowOff>0</xdr:rowOff>
    </xdr:from>
    <xdr:to>
      <xdr:col>37</xdr:col>
      <xdr:colOff>220345</xdr:colOff>
      <xdr:row>38</xdr:row>
      <xdr:rowOff>152400</xdr:rowOff>
    </xdr:to>
    <xdr:grpSp>
      <xdr:nvGrpSpPr>
        <xdr:cNvPr id="86" name="Groep 85">
          <a:extLst>
            <a:ext uri="{FF2B5EF4-FFF2-40B4-BE49-F238E27FC236}">
              <a16:creationId xmlns:a16="http://schemas.microsoft.com/office/drawing/2014/main" id="{E7551052-47ED-4813-8AD4-2FB783787AE6}"/>
            </a:ext>
          </a:extLst>
        </xdr:cNvPr>
        <xdr:cNvGrpSpPr>
          <a:grpSpLocks noChangeAspect="1"/>
        </xdr:cNvGrpSpPr>
      </xdr:nvGrpSpPr>
      <xdr:grpSpPr>
        <a:xfrm>
          <a:off x="28467050" y="5378450"/>
          <a:ext cx="1503045" cy="1790700"/>
          <a:chOff x="2" y="0"/>
          <a:chExt cx="2520000" cy="3200401"/>
        </a:xfrm>
      </xdr:grpSpPr>
      <xdr:pic>
        <xdr:nvPicPr>
          <xdr:cNvPr id="87" name="Afbeelding 86">
            <a:extLst>
              <a:ext uri="{FF2B5EF4-FFF2-40B4-BE49-F238E27FC236}">
                <a16:creationId xmlns:a16="http://schemas.microsoft.com/office/drawing/2014/main" id="{F6098739-7430-4571-90E8-690CE835DA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88" name="Afbeelding 87">
            <a:extLst>
              <a:ext uri="{FF2B5EF4-FFF2-40B4-BE49-F238E27FC236}">
                <a16:creationId xmlns:a16="http://schemas.microsoft.com/office/drawing/2014/main" id="{48DC145D-3C7E-42BC-AB8B-29FA35669B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89" name="Rechte verbindingslijn 88">
            <a:extLst>
              <a:ext uri="{FF2B5EF4-FFF2-40B4-BE49-F238E27FC236}">
                <a16:creationId xmlns:a16="http://schemas.microsoft.com/office/drawing/2014/main" id="{984042B8-2072-4883-9BFE-DE16E3342583}"/>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90" name="Rechte verbindingslijn 89">
            <a:extLst>
              <a:ext uri="{FF2B5EF4-FFF2-40B4-BE49-F238E27FC236}">
                <a16:creationId xmlns:a16="http://schemas.microsoft.com/office/drawing/2014/main" id="{BFCB2A24-7F12-4078-B4E8-45C1E2D92B5C}"/>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91" name="Rechte verbindingslijn 90">
            <a:extLst>
              <a:ext uri="{FF2B5EF4-FFF2-40B4-BE49-F238E27FC236}">
                <a16:creationId xmlns:a16="http://schemas.microsoft.com/office/drawing/2014/main" id="{0521CD88-FCB0-486C-8E38-D8244FA6A392}"/>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92" name="Afbeelding 91">
            <a:extLst>
              <a:ext uri="{FF2B5EF4-FFF2-40B4-BE49-F238E27FC236}">
                <a16:creationId xmlns:a16="http://schemas.microsoft.com/office/drawing/2014/main" id="{DC4E517A-3517-4E27-8D35-E8A450EED6B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pic>
        <xdr:nvPicPr>
          <xdr:cNvPr id="93" name="Afbeelding 92">
            <a:extLst>
              <a:ext uri="{FF2B5EF4-FFF2-40B4-BE49-F238E27FC236}">
                <a16:creationId xmlns:a16="http://schemas.microsoft.com/office/drawing/2014/main" id="{F9E920D2-18EA-434D-891E-5639C8B153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4601"/>
            <a:ext cx="922867" cy="4830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220345</xdr:colOff>
      <xdr:row>13</xdr:row>
      <xdr:rowOff>0</xdr:rowOff>
    </xdr:to>
    <xdr:grpSp>
      <xdr:nvGrpSpPr>
        <xdr:cNvPr id="2" name="Groep 1">
          <a:extLst>
            <a:ext uri="{FF2B5EF4-FFF2-40B4-BE49-F238E27FC236}">
              <a16:creationId xmlns:a16="http://schemas.microsoft.com/office/drawing/2014/main" id="{1C69E066-2A2B-4EEA-A1CA-40F8351A746A}"/>
            </a:ext>
          </a:extLst>
        </xdr:cNvPr>
        <xdr:cNvGrpSpPr>
          <a:grpSpLocks noChangeAspect="1"/>
        </xdr:cNvGrpSpPr>
      </xdr:nvGrpSpPr>
      <xdr:grpSpPr>
        <a:xfrm>
          <a:off x="0" y="603250"/>
          <a:ext cx="1503045" cy="1854200"/>
          <a:chOff x="2" y="0"/>
          <a:chExt cx="2520000" cy="3200401"/>
        </a:xfrm>
      </xdr:grpSpPr>
      <xdr:pic>
        <xdr:nvPicPr>
          <xdr:cNvPr id="3" name="Afbeelding 2">
            <a:extLst>
              <a:ext uri="{FF2B5EF4-FFF2-40B4-BE49-F238E27FC236}">
                <a16:creationId xmlns:a16="http://schemas.microsoft.com/office/drawing/2014/main" id="{1B7C4804-71D4-4FA5-9755-7729A92E477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4" name="Afbeelding 3">
            <a:extLst>
              <a:ext uri="{FF2B5EF4-FFF2-40B4-BE49-F238E27FC236}">
                <a16:creationId xmlns:a16="http://schemas.microsoft.com/office/drawing/2014/main" id="{304BFAAF-9ED8-452F-A4F2-14436DD04A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5" name="Rechte verbindingslijn 4">
            <a:extLst>
              <a:ext uri="{FF2B5EF4-FFF2-40B4-BE49-F238E27FC236}">
                <a16:creationId xmlns:a16="http://schemas.microsoft.com/office/drawing/2014/main" id="{6746DB8E-B832-4336-839C-9FCF6447BF25}"/>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6" name="Rechte verbindingslijn 5">
            <a:extLst>
              <a:ext uri="{FF2B5EF4-FFF2-40B4-BE49-F238E27FC236}">
                <a16:creationId xmlns:a16="http://schemas.microsoft.com/office/drawing/2014/main" id="{9D87C85D-B0E1-44C7-9181-94AFD7C2E1D4}"/>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 name="Rechte verbindingslijn 6">
            <a:extLst>
              <a:ext uri="{FF2B5EF4-FFF2-40B4-BE49-F238E27FC236}">
                <a16:creationId xmlns:a16="http://schemas.microsoft.com/office/drawing/2014/main" id="{782B18C1-18A3-4FF9-A131-2789AD1D3C78}"/>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0</xdr:colOff>
      <xdr:row>16</xdr:row>
      <xdr:rowOff>1</xdr:rowOff>
    </xdr:from>
    <xdr:to>
      <xdr:col>2</xdr:col>
      <xdr:colOff>220345</xdr:colOff>
      <xdr:row>26</xdr:row>
      <xdr:rowOff>1</xdr:rowOff>
    </xdr:to>
    <xdr:grpSp>
      <xdr:nvGrpSpPr>
        <xdr:cNvPr id="8" name="Groep 7">
          <a:extLst>
            <a:ext uri="{FF2B5EF4-FFF2-40B4-BE49-F238E27FC236}">
              <a16:creationId xmlns:a16="http://schemas.microsoft.com/office/drawing/2014/main" id="{3FA57C85-7989-4A83-917A-13485C183D86}"/>
            </a:ext>
          </a:extLst>
        </xdr:cNvPr>
        <xdr:cNvGrpSpPr>
          <a:grpSpLocks noChangeAspect="1"/>
        </xdr:cNvGrpSpPr>
      </xdr:nvGrpSpPr>
      <xdr:grpSpPr>
        <a:xfrm>
          <a:off x="0" y="2997201"/>
          <a:ext cx="1503045" cy="1854200"/>
          <a:chOff x="2" y="0"/>
          <a:chExt cx="2520000" cy="3200401"/>
        </a:xfrm>
      </xdr:grpSpPr>
      <xdr:pic>
        <xdr:nvPicPr>
          <xdr:cNvPr id="9" name="Afbeelding 8">
            <a:extLst>
              <a:ext uri="{FF2B5EF4-FFF2-40B4-BE49-F238E27FC236}">
                <a16:creationId xmlns:a16="http://schemas.microsoft.com/office/drawing/2014/main" id="{F0776126-5B8D-4136-B9CD-0F6E1F7D88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10" name="Afbeelding 9">
            <a:extLst>
              <a:ext uri="{FF2B5EF4-FFF2-40B4-BE49-F238E27FC236}">
                <a16:creationId xmlns:a16="http://schemas.microsoft.com/office/drawing/2014/main" id="{B07CB53D-0043-4D12-A80B-97B7200B9C7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58946" y="1710068"/>
            <a:ext cx="2022593" cy="910167"/>
          </a:xfrm>
          <a:prstGeom prst="rect">
            <a:avLst/>
          </a:prstGeom>
        </xdr:spPr>
      </xdr:pic>
      <xdr:cxnSp macro="">
        <xdr:nvCxnSpPr>
          <xdr:cNvPr id="11" name="Rechte verbindingslijn 10">
            <a:extLst>
              <a:ext uri="{FF2B5EF4-FFF2-40B4-BE49-F238E27FC236}">
                <a16:creationId xmlns:a16="http://schemas.microsoft.com/office/drawing/2014/main" id="{AC6CC860-778E-4871-86D4-C0EEC117A839}"/>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12" name="Rechte verbindingslijn 11">
            <a:extLst>
              <a:ext uri="{FF2B5EF4-FFF2-40B4-BE49-F238E27FC236}">
                <a16:creationId xmlns:a16="http://schemas.microsoft.com/office/drawing/2014/main" id="{CECD7CF3-E716-4B9C-9731-3132C06C312D}"/>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13" name="Rechte verbindingslijn 12">
            <a:extLst>
              <a:ext uri="{FF2B5EF4-FFF2-40B4-BE49-F238E27FC236}">
                <a16:creationId xmlns:a16="http://schemas.microsoft.com/office/drawing/2014/main" id="{7C8FE25D-1ED0-4C6F-94C5-3D0D8FA46291}"/>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0</xdr:col>
      <xdr:colOff>0</xdr:colOff>
      <xdr:row>29</xdr:row>
      <xdr:rowOff>0</xdr:rowOff>
    </xdr:from>
    <xdr:to>
      <xdr:col>2</xdr:col>
      <xdr:colOff>220345</xdr:colOff>
      <xdr:row>39</xdr:row>
      <xdr:rowOff>9525</xdr:rowOff>
    </xdr:to>
    <xdr:grpSp>
      <xdr:nvGrpSpPr>
        <xdr:cNvPr id="14" name="Groep 13">
          <a:extLst>
            <a:ext uri="{FF2B5EF4-FFF2-40B4-BE49-F238E27FC236}">
              <a16:creationId xmlns:a16="http://schemas.microsoft.com/office/drawing/2014/main" id="{14AA7F49-7D6A-4D75-9903-2C803A8E2635}"/>
            </a:ext>
          </a:extLst>
        </xdr:cNvPr>
        <xdr:cNvGrpSpPr>
          <a:grpSpLocks noChangeAspect="1"/>
        </xdr:cNvGrpSpPr>
      </xdr:nvGrpSpPr>
      <xdr:grpSpPr>
        <a:xfrm>
          <a:off x="0" y="5378450"/>
          <a:ext cx="1503045" cy="1831975"/>
          <a:chOff x="2" y="0"/>
          <a:chExt cx="2520000" cy="3200401"/>
        </a:xfrm>
      </xdr:grpSpPr>
      <xdr:pic>
        <xdr:nvPicPr>
          <xdr:cNvPr id="15" name="Afbeelding 14">
            <a:extLst>
              <a:ext uri="{FF2B5EF4-FFF2-40B4-BE49-F238E27FC236}">
                <a16:creationId xmlns:a16="http://schemas.microsoft.com/office/drawing/2014/main" id="{9AD0D92C-8665-41BE-A02D-0A514B25B0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16" name="Rechte verbindingslijn 15">
            <a:extLst>
              <a:ext uri="{FF2B5EF4-FFF2-40B4-BE49-F238E27FC236}">
                <a16:creationId xmlns:a16="http://schemas.microsoft.com/office/drawing/2014/main" id="{DB631516-C917-49F9-8E8C-C8A3A4F0F0A4}"/>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17" name="Rechte verbindingslijn 16">
            <a:extLst>
              <a:ext uri="{FF2B5EF4-FFF2-40B4-BE49-F238E27FC236}">
                <a16:creationId xmlns:a16="http://schemas.microsoft.com/office/drawing/2014/main" id="{418881BB-1B85-4F47-9069-392D150FB8E7}"/>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18" name="Rechte verbindingslijn 17">
            <a:extLst>
              <a:ext uri="{FF2B5EF4-FFF2-40B4-BE49-F238E27FC236}">
                <a16:creationId xmlns:a16="http://schemas.microsoft.com/office/drawing/2014/main" id="{3ED42C41-0F22-48D7-86CE-EC1922A7B471}"/>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19" name="Afbeelding 18">
            <a:extLst>
              <a:ext uri="{FF2B5EF4-FFF2-40B4-BE49-F238E27FC236}">
                <a16:creationId xmlns:a16="http://schemas.microsoft.com/office/drawing/2014/main" id="{F0F6FFC9-C79C-4AA2-AA46-D5639F424E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0</xdr:col>
      <xdr:colOff>0</xdr:colOff>
      <xdr:row>42</xdr:row>
      <xdr:rowOff>0</xdr:rowOff>
    </xdr:from>
    <xdr:to>
      <xdr:col>2</xdr:col>
      <xdr:colOff>220345</xdr:colOff>
      <xdr:row>52</xdr:row>
      <xdr:rowOff>0</xdr:rowOff>
    </xdr:to>
    <xdr:grpSp>
      <xdr:nvGrpSpPr>
        <xdr:cNvPr id="20" name="Groep 19">
          <a:extLst>
            <a:ext uri="{FF2B5EF4-FFF2-40B4-BE49-F238E27FC236}">
              <a16:creationId xmlns:a16="http://schemas.microsoft.com/office/drawing/2014/main" id="{B8683D54-E750-4F92-85A5-391F9501ADFD}"/>
            </a:ext>
          </a:extLst>
        </xdr:cNvPr>
        <xdr:cNvGrpSpPr>
          <a:grpSpLocks noChangeAspect="1"/>
        </xdr:cNvGrpSpPr>
      </xdr:nvGrpSpPr>
      <xdr:grpSpPr>
        <a:xfrm>
          <a:off x="0" y="7702550"/>
          <a:ext cx="1503045" cy="1695450"/>
          <a:chOff x="2" y="0"/>
          <a:chExt cx="2520000" cy="3200401"/>
        </a:xfrm>
      </xdr:grpSpPr>
      <xdr:pic>
        <xdr:nvPicPr>
          <xdr:cNvPr id="21" name="Afbeelding 20">
            <a:extLst>
              <a:ext uri="{FF2B5EF4-FFF2-40B4-BE49-F238E27FC236}">
                <a16:creationId xmlns:a16="http://schemas.microsoft.com/office/drawing/2014/main" id="{006DDFB3-94F6-43B4-86E1-8673E81AD6C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cxnSp macro="">
        <xdr:nvCxnSpPr>
          <xdr:cNvPr id="22" name="Rechte verbindingslijn 21">
            <a:extLst>
              <a:ext uri="{FF2B5EF4-FFF2-40B4-BE49-F238E27FC236}">
                <a16:creationId xmlns:a16="http://schemas.microsoft.com/office/drawing/2014/main" id="{6A782694-F47C-4B01-9130-4C1ECB5D4A45}"/>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23" name="Rechte verbindingslijn 22">
            <a:extLst>
              <a:ext uri="{FF2B5EF4-FFF2-40B4-BE49-F238E27FC236}">
                <a16:creationId xmlns:a16="http://schemas.microsoft.com/office/drawing/2014/main" id="{06A0D09C-35A9-43B3-86B8-C3E8F2597D73}"/>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24" name="Rechte verbindingslijn 23">
            <a:extLst>
              <a:ext uri="{FF2B5EF4-FFF2-40B4-BE49-F238E27FC236}">
                <a16:creationId xmlns:a16="http://schemas.microsoft.com/office/drawing/2014/main" id="{9A3D3ED8-3B86-417F-8BF9-0D5BA8A123D6}"/>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25" name="Afbeelding 24">
            <a:extLst>
              <a:ext uri="{FF2B5EF4-FFF2-40B4-BE49-F238E27FC236}">
                <a16:creationId xmlns:a16="http://schemas.microsoft.com/office/drawing/2014/main" id="{5FD52B7C-03B0-42DE-90EC-80C1977A45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15</xdr:col>
      <xdr:colOff>0</xdr:colOff>
      <xdr:row>3</xdr:row>
      <xdr:rowOff>0</xdr:rowOff>
    </xdr:from>
    <xdr:to>
      <xdr:col>17</xdr:col>
      <xdr:colOff>220345</xdr:colOff>
      <xdr:row>13</xdr:row>
      <xdr:rowOff>9525</xdr:rowOff>
    </xdr:to>
    <xdr:grpSp>
      <xdr:nvGrpSpPr>
        <xdr:cNvPr id="26" name="Groep 25">
          <a:extLst>
            <a:ext uri="{FF2B5EF4-FFF2-40B4-BE49-F238E27FC236}">
              <a16:creationId xmlns:a16="http://schemas.microsoft.com/office/drawing/2014/main" id="{24C3B23E-1B14-4C44-A0E5-EF097285087D}"/>
            </a:ext>
          </a:extLst>
        </xdr:cNvPr>
        <xdr:cNvGrpSpPr>
          <a:grpSpLocks noChangeAspect="1"/>
        </xdr:cNvGrpSpPr>
      </xdr:nvGrpSpPr>
      <xdr:grpSpPr>
        <a:xfrm>
          <a:off x="11055350" y="603250"/>
          <a:ext cx="1503045" cy="1863725"/>
          <a:chOff x="2" y="0"/>
          <a:chExt cx="2520000" cy="3200401"/>
        </a:xfrm>
      </xdr:grpSpPr>
      <xdr:pic>
        <xdr:nvPicPr>
          <xdr:cNvPr id="27" name="Afbeelding 26">
            <a:extLst>
              <a:ext uri="{FF2B5EF4-FFF2-40B4-BE49-F238E27FC236}">
                <a16:creationId xmlns:a16="http://schemas.microsoft.com/office/drawing/2014/main" id="{978766E1-245E-4E28-A34C-9BCDAB09D0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28" name="Afbeelding 27">
            <a:extLst>
              <a:ext uri="{FF2B5EF4-FFF2-40B4-BE49-F238E27FC236}">
                <a16:creationId xmlns:a16="http://schemas.microsoft.com/office/drawing/2014/main" id="{AC708065-7C7A-4CA3-855C-7F53440892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29" name="Rechte verbindingslijn 28">
            <a:extLst>
              <a:ext uri="{FF2B5EF4-FFF2-40B4-BE49-F238E27FC236}">
                <a16:creationId xmlns:a16="http://schemas.microsoft.com/office/drawing/2014/main" id="{7BF4D18D-4688-47B1-81FD-5732245C22E2}"/>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30" name="Rechte verbindingslijn 29">
            <a:extLst>
              <a:ext uri="{FF2B5EF4-FFF2-40B4-BE49-F238E27FC236}">
                <a16:creationId xmlns:a16="http://schemas.microsoft.com/office/drawing/2014/main" id="{AFC28FB1-E97D-4C9A-911B-13B913059AEF}"/>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31" name="Rechte verbindingslijn 30">
            <a:extLst>
              <a:ext uri="{FF2B5EF4-FFF2-40B4-BE49-F238E27FC236}">
                <a16:creationId xmlns:a16="http://schemas.microsoft.com/office/drawing/2014/main" id="{EAA4A4A6-CC4C-49FD-A237-A59DFBD3BF2B}"/>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32" name="Afbeelding 31">
            <a:extLst>
              <a:ext uri="{FF2B5EF4-FFF2-40B4-BE49-F238E27FC236}">
                <a16:creationId xmlns:a16="http://schemas.microsoft.com/office/drawing/2014/main" id="{80882937-B910-460E-99C9-97AEFEC87A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15</xdr:col>
      <xdr:colOff>0</xdr:colOff>
      <xdr:row>16</xdr:row>
      <xdr:rowOff>0</xdr:rowOff>
    </xdr:from>
    <xdr:to>
      <xdr:col>17</xdr:col>
      <xdr:colOff>220345</xdr:colOff>
      <xdr:row>26</xdr:row>
      <xdr:rowOff>9525</xdr:rowOff>
    </xdr:to>
    <xdr:grpSp>
      <xdr:nvGrpSpPr>
        <xdr:cNvPr id="33" name="Groep 32">
          <a:extLst>
            <a:ext uri="{FF2B5EF4-FFF2-40B4-BE49-F238E27FC236}">
              <a16:creationId xmlns:a16="http://schemas.microsoft.com/office/drawing/2014/main" id="{DF867543-09D1-4C5F-AC5E-5372EB1F05E9}"/>
            </a:ext>
          </a:extLst>
        </xdr:cNvPr>
        <xdr:cNvGrpSpPr>
          <a:grpSpLocks noChangeAspect="1"/>
        </xdr:cNvGrpSpPr>
      </xdr:nvGrpSpPr>
      <xdr:grpSpPr>
        <a:xfrm>
          <a:off x="11055350" y="2997200"/>
          <a:ext cx="1503045" cy="1863725"/>
          <a:chOff x="2" y="0"/>
          <a:chExt cx="2520000" cy="3200401"/>
        </a:xfrm>
      </xdr:grpSpPr>
      <xdr:pic>
        <xdr:nvPicPr>
          <xdr:cNvPr id="34" name="Afbeelding 33">
            <a:extLst>
              <a:ext uri="{FF2B5EF4-FFF2-40B4-BE49-F238E27FC236}">
                <a16:creationId xmlns:a16="http://schemas.microsoft.com/office/drawing/2014/main" id="{A64B2C18-100C-4BAF-9BBB-316F475BD9D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35" name="Afbeelding 34">
            <a:extLst>
              <a:ext uri="{FF2B5EF4-FFF2-40B4-BE49-F238E27FC236}">
                <a16:creationId xmlns:a16="http://schemas.microsoft.com/office/drawing/2014/main" id="{BCB8E5A8-B6A0-4A2E-9997-5D02191CD86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36" name="Rechte verbindingslijn 35">
            <a:extLst>
              <a:ext uri="{FF2B5EF4-FFF2-40B4-BE49-F238E27FC236}">
                <a16:creationId xmlns:a16="http://schemas.microsoft.com/office/drawing/2014/main" id="{72F4DC51-3DE0-4E1A-8A87-8E3DC4FA84DE}"/>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37" name="Rechte verbindingslijn 36">
            <a:extLst>
              <a:ext uri="{FF2B5EF4-FFF2-40B4-BE49-F238E27FC236}">
                <a16:creationId xmlns:a16="http://schemas.microsoft.com/office/drawing/2014/main" id="{B3D7F203-2A55-43D2-8CF4-BA9D2E3131CC}"/>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38" name="Rechte verbindingslijn 37">
            <a:extLst>
              <a:ext uri="{FF2B5EF4-FFF2-40B4-BE49-F238E27FC236}">
                <a16:creationId xmlns:a16="http://schemas.microsoft.com/office/drawing/2014/main" id="{78633CBD-3A9E-49E2-B8CE-75D850E32354}"/>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39" name="Afbeelding 38">
            <a:extLst>
              <a:ext uri="{FF2B5EF4-FFF2-40B4-BE49-F238E27FC236}">
                <a16:creationId xmlns:a16="http://schemas.microsoft.com/office/drawing/2014/main" id="{8C2E118C-2785-4298-B41E-8062BBBF35E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15</xdr:col>
      <xdr:colOff>0</xdr:colOff>
      <xdr:row>29</xdr:row>
      <xdr:rowOff>1</xdr:rowOff>
    </xdr:from>
    <xdr:to>
      <xdr:col>17</xdr:col>
      <xdr:colOff>220345</xdr:colOff>
      <xdr:row>39</xdr:row>
      <xdr:rowOff>1</xdr:rowOff>
    </xdr:to>
    <xdr:grpSp>
      <xdr:nvGrpSpPr>
        <xdr:cNvPr id="40" name="Groep 39">
          <a:extLst>
            <a:ext uri="{FF2B5EF4-FFF2-40B4-BE49-F238E27FC236}">
              <a16:creationId xmlns:a16="http://schemas.microsoft.com/office/drawing/2014/main" id="{AD2E5EE0-C3A7-40BD-82B3-D5576ED2B5E6}"/>
            </a:ext>
          </a:extLst>
        </xdr:cNvPr>
        <xdr:cNvGrpSpPr>
          <a:grpSpLocks noChangeAspect="1"/>
        </xdr:cNvGrpSpPr>
      </xdr:nvGrpSpPr>
      <xdr:grpSpPr>
        <a:xfrm>
          <a:off x="11055350" y="5378451"/>
          <a:ext cx="1503045" cy="1822450"/>
          <a:chOff x="2" y="0"/>
          <a:chExt cx="2520000" cy="3200401"/>
        </a:xfrm>
      </xdr:grpSpPr>
      <xdr:pic>
        <xdr:nvPicPr>
          <xdr:cNvPr id="41" name="Afbeelding 40">
            <a:extLst>
              <a:ext uri="{FF2B5EF4-FFF2-40B4-BE49-F238E27FC236}">
                <a16:creationId xmlns:a16="http://schemas.microsoft.com/office/drawing/2014/main" id="{8447251F-55C9-4134-A2E4-54FFF3E9E0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42" name="Afbeelding 41">
            <a:extLst>
              <a:ext uri="{FF2B5EF4-FFF2-40B4-BE49-F238E27FC236}">
                <a16:creationId xmlns:a16="http://schemas.microsoft.com/office/drawing/2014/main" id="{A00A8E42-24F4-4C98-9400-33F250A9522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43" name="Rechte verbindingslijn 42">
            <a:extLst>
              <a:ext uri="{FF2B5EF4-FFF2-40B4-BE49-F238E27FC236}">
                <a16:creationId xmlns:a16="http://schemas.microsoft.com/office/drawing/2014/main" id="{3A515681-2DC0-4C92-B0F2-2253EEC99688}"/>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44" name="Rechte verbindingslijn 43">
            <a:extLst>
              <a:ext uri="{FF2B5EF4-FFF2-40B4-BE49-F238E27FC236}">
                <a16:creationId xmlns:a16="http://schemas.microsoft.com/office/drawing/2014/main" id="{B913DEA0-A2E0-40E4-A6D6-5614C6C45484}"/>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45" name="Rechte verbindingslijn 44">
            <a:extLst>
              <a:ext uri="{FF2B5EF4-FFF2-40B4-BE49-F238E27FC236}">
                <a16:creationId xmlns:a16="http://schemas.microsoft.com/office/drawing/2014/main" id="{4F4761A1-268A-4450-AF8E-2F1F897702B2}"/>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46" name="Afbeelding 45">
            <a:extLst>
              <a:ext uri="{FF2B5EF4-FFF2-40B4-BE49-F238E27FC236}">
                <a16:creationId xmlns:a16="http://schemas.microsoft.com/office/drawing/2014/main" id="{93628B6B-E6C0-4492-A90C-FE8E054F27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pic>
        <xdr:nvPicPr>
          <xdr:cNvPr id="47" name="Afbeelding 46">
            <a:extLst>
              <a:ext uri="{FF2B5EF4-FFF2-40B4-BE49-F238E27FC236}">
                <a16:creationId xmlns:a16="http://schemas.microsoft.com/office/drawing/2014/main" id="{59679327-6A9D-432D-AFC7-C08941DFA3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4601"/>
            <a:ext cx="922867" cy="483000"/>
          </a:xfrm>
          <a:prstGeom prst="rect">
            <a:avLst/>
          </a:prstGeom>
        </xdr:spPr>
      </xdr:pic>
    </xdr:grpSp>
    <xdr:clientData/>
  </xdr:twoCellAnchor>
  <xdr:twoCellAnchor>
    <xdr:from>
      <xdr:col>28</xdr:col>
      <xdr:colOff>0</xdr:colOff>
      <xdr:row>3</xdr:row>
      <xdr:rowOff>0</xdr:rowOff>
    </xdr:from>
    <xdr:to>
      <xdr:col>30</xdr:col>
      <xdr:colOff>220345</xdr:colOff>
      <xdr:row>13</xdr:row>
      <xdr:rowOff>0</xdr:rowOff>
    </xdr:to>
    <xdr:grpSp>
      <xdr:nvGrpSpPr>
        <xdr:cNvPr id="48" name="Groep 47">
          <a:extLst>
            <a:ext uri="{FF2B5EF4-FFF2-40B4-BE49-F238E27FC236}">
              <a16:creationId xmlns:a16="http://schemas.microsoft.com/office/drawing/2014/main" id="{7C0DBC0E-55F9-461D-95D0-3CCE93F947BB}"/>
            </a:ext>
          </a:extLst>
        </xdr:cNvPr>
        <xdr:cNvGrpSpPr>
          <a:grpSpLocks noChangeAspect="1"/>
        </xdr:cNvGrpSpPr>
      </xdr:nvGrpSpPr>
      <xdr:grpSpPr>
        <a:xfrm>
          <a:off x="20828000" y="603250"/>
          <a:ext cx="1503045" cy="1854200"/>
          <a:chOff x="2" y="0"/>
          <a:chExt cx="2520000" cy="3200401"/>
        </a:xfrm>
      </xdr:grpSpPr>
      <xdr:pic>
        <xdr:nvPicPr>
          <xdr:cNvPr id="49" name="Afbeelding 48">
            <a:extLst>
              <a:ext uri="{FF2B5EF4-FFF2-40B4-BE49-F238E27FC236}">
                <a16:creationId xmlns:a16="http://schemas.microsoft.com/office/drawing/2014/main" id="{A5C1EBD6-4DB2-481C-ACFA-D62C25387E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50" name="Afbeelding 49">
            <a:extLst>
              <a:ext uri="{FF2B5EF4-FFF2-40B4-BE49-F238E27FC236}">
                <a16:creationId xmlns:a16="http://schemas.microsoft.com/office/drawing/2014/main" id="{ADDDB03A-E631-40A0-AAEF-FDD040E0F0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51" name="Rechte verbindingslijn 50">
            <a:extLst>
              <a:ext uri="{FF2B5EF4-FFF2-40B4-BE49-F238E27FC236}">
                <a16:creationId xmlns:a16="http://schemas.microsoft.com/office/drawing/2014/main" id="{3F1C5295-0C2B-4595-A128-257096BD4AD7}"/>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52" name="Rechte verbindingslijn 51">
            <a:extLst>
              <a:ext uri="{FF2B5EF4-FFF2-40B4-BE49-F238E27FC236}">
                <a16:creationId xmlns:a16="http://schemas.microsoft.com/office/drawing/2014/main" id="{2646746D-3D4F-43D8-ACE7-5E92B27F0CFF}"/>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53" name="Rechte verbindingslijn 52">
            <a:extLst>
              <a:ext uri="{FF2B5EF4-FFF2-40B4-BE49-F238E27FC236}">
                <a16:creationId xmlns:a16="http://schemas.microsoft.com/office/drawing/2014/main" id="{0D1EA159-5994-4C41-9179-97223FF049DC}"/>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28</xdr:col>
      <xdr:colOff>0</xdr:colOff>
      <xdr:row>16</xdr:row>
      <xdr:rowOff>0</xdr:rowOff>
    </xdr:from>
    <xdr:to>
      <xdr:col>30</xdr:col>
      <xdr:colOff>220345</xdr:colOff>
      <xdr:row>26</xdr:row>
      <xdr:rowOff>0</xdr:rowOff>
    </xdr:to>
    <xdr:grpSp>
      <xdr:nvGrpSpPr>
        <xdr:cNvPr id="54" name="Groep 53">
          <a:extLst>
            <a:ext uri="{FF2B5EF4-FFF2-40B4-BE49-F238E27FC236}">
              <a16:creationId xmlns:a16="http://schemas.microsoft.com/office/drawing/2014/main" id="{ADEF050C-4C7C-4672-91F4-27F8FACA704C}"/>
            </a:ext>
          </a:extLst>
        </xdr:cNvPr>
        <xdr:cNvGrpSpPr>
          <a:grpSpLocks noChangeAspect="1"/>
        </xdr:cNvGrpSpPr>
      </xdr:nvGrpSpPr>
      <xdr:grpSpPr>
        <a:xfrm>
          <a:off x="20828000" y="2997200"/>
          <a:ext cx="1503045" cy="1854200"/>
          <a:chOff x="2" y="0"/>
          <a:chExt cx="2520000" cy="3200401"/>
        </a:xfrm>
      </xdr:grpSpPr>
      <xdr:pic>
        <xdr:nvPicPr>
          <xdr:cNvPr id="55" name="Afbeelding 54">
            <a:extLst>
              <a:ext uri="{FF2B5EF4-FFF2-40B4-BE49-F238E27FC236}">
                <a16:creationId xmlns:a16="http://schemas.microsoft.com/office/drawing/2014/main" id="{BCFB0A62-E6AF-4EED-89E7-EF689D3D84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56" name="Afbeelding 55">
            <a:extLst>
              <a:ext uri="{FF2B5EF4-FFF2-40B4-BE49-F238E27FC236}">
                <a16:creationId xmlns:a16="http://schemas.microsoft.com/office/drawing/2014/main" id="{DCE38054-972D-479C-93C9-DADA1CFDA48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158946" y="1710068"/>
            <a:ext cx="2022593" cy="910167"/>
          </a:xfrm>
          <a:prstGeom prst="rect">
            <a:avLst/>
          </a:prstGeom>
        </xdr:spPr>
      </xdr:pic>
      <xdr:cxnSp macro="">
        <xdr:nvCxnSpPr>
          <xdr:cNvPr id="57" name="Rechte verbindingslijn 56">
            <a:extLst>
              <a:ext uri="{FF2B5EF4-FFF2-40B4-BE49-F238E27FC236}">
                <a16:creationId xmlns:a16="http://schemas.microsoft.com/office/drawing/2014/main" id="{BF5763FC-3479-41E8-9638-FE4F6ADE16A6}"/>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58" name="Rechte verbindingslijn 57">
            <a:extLst>
              <a:ext uri="{FF2B5EF4-FFF2-40B4-BE49-F238E27FC236}">
                <a16:creationId xmlns:a16="http://schemas.microsoft.com/office/drawing/2014/main" id="{539CF8B1-4A69-4C6A-B146-C04CE85A45DC}"/>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59" name="Rechte verbindingslijn 58">
            <a:extLst>
              <a:ext uri="{FF2B5EF4-FFF2-40B4-BE49-F238E27FC236}">
                <a16:creationId xmlns:a16="http://schemas.microsoft.com/office/drawing/2014/main" id="{3FCB5A88-2E01-4B23-8DAF-5A3A68F44A3C}"/>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grpSp>
    <xdr:clientData/>
  </xdr:twoCellAnchor>
  <xdr:twoCellAnchor>
    <xdr:from>
      <xdr:col>28</xdr:col>
      <xdr:colOff>0</xdr:colOff>
      <xdr:row>29</xdr:row>
      <xdr:rowOff>0</xdr:rowOff>
    </xdr:from>
    <xdr:to>
      <xdr:col>30</xdr:col>
      <xdr:colOff>220345</xdr:colOff>
      <xdr:row>38</xdr:row>
      <xdr:rowOff>47625</xdr:rowOff>
    </xdr:to>
    <xdr:grpSp>
      <xdr:nvGrpSpPr>
        <xdr:cNvPr id="60" name="Groep 59">
          <a:extLst>
            <a:ext uri="{FF2B5EF4-FFF2-40B4-BE49-F238E27FC236}">
              <a16:creationId xmlns:a16="http://schemas.microsoft.com/office/drawing/2014/main" id="{A71B245A-FB7F-4DEA-98D3-D835D89DACB4}"/>
            </a:ext>
          </a:extLst>
        </xdr:cNvPr>
        <xdr:cNvGrpSpPr>
          <a:grpSpLocks noChangeAspect="1"/>
        </xdr:cNvGrpSpPr>
      </xdr:nvGrpSpPr>
      <xdr:grpSpPr>
        <a:xfrm>
          <a:off x="20828000" y="5378450"/>
          <a:ext cx="1503045" cy="1685925"/>
          <a:chOff x="2" y="0"/>
          <a:chExt cx="2520000" cy="3200401"/>
        </a:xfrm>
      </xdr:grpSpPr>
      <xdr:pic>
        <xdr:nvPicPr>
          <xdr:cNvPr id="61" name="Afbeelding 60">
            <a:extLst>
              <a:ext uri="{FF2B5EF4-FFF2-40B4-BE49-F238E27FC236}">
                <a16:creationId xmlns:a16="http://schemas.microsoft.com/office/drawing/2014/main" id="{3673B001-08FF-4DFD-B2C3-54C8C6A67D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cxnSp macro="">
        <xdr:nvCxnSpPr>
          <xdr:cNvPr id="62" name="Rechte verbindingslijn 61">
            <a:extLst>
              <a:ext uri="{FF2B5EF4-FFF2-40B4-BE49-F238E27FC236}">
                <a16:creationId xmlns:a16="http://schemas.microsoft.com/office/drawing/2014/main" id="{0E9848BB-76FD-468D-B2B5-098D73C1E914}"/>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63" name="Rechte verbindingslijn 62">
            <a:extLst>
              <a:ext uri="{FF2B5EF4-FFF2-40B4-BE49-F238E27FC236}">
                <a16:creationId xmlns:a16="http://schemas.microsoft.com/office/drawing/2014/main" id="{30E17DF4-D9C1-4CB0-925D-1DE5349F436C}"/>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64" name="Rechte verbindingslijn 63">
            <a:extLst>
              <a:ext uri="{FF2B5EF4-FFF2-40B4-BE49-F238E27FC236}">
                <a16:creationId xmlns:a16="http://schemas.microsoft.com/office/drawing/2014/main" id="{F4A67C99-AC47-4B2A-AF86-14632C1B6C83}"/>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65" name="Afbeelding 64">
            <a:extLst>
              <a:ext uri="{FF2B5EF4-FFF2-40B4-BE49-F238E27FC236}">
                <a16:creationId xmlns:a16="http://schemas.microsoft.com/office/drawing/2014/main" id="{5EB78A5E-F8E5-4217-BF7E-4568287C40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35</xdr:col>
      <xdr:colOff>0</xdr:colOff>
      <xdr:row>3</xdr:row>
      <xdr:rowOff>0</xdr:rowOff>
    </xdr:from>
    <xdr:to>
      <xdr:col>37</xdr:col>
      <xdr:colOff>220345</xdr:colOff>
      <xdr:row>12</xdr:row>
      <xdr:rowOff>114300</xdr:rowOff>
    </xdr:to>
    <xdr:grpSp>
      <xdr:nvGrpSpPr>
        <xdr:cNvPr id="66" name="Groep 65">
          <a:extLst>
            <a:ext uri="{FF2B5EF4-FFF2-40B4-BE49-F238E27FC236}">
              <a16:creationId xmlns:a16="http://schemas.microsoft.com/office/drawing/2014/main" id="{1F660EB3-3E9B-4039-BE64-BA1D078AA05C}"/>
            </a:ext>
          </a:extLst>
        </xdr:cNvPr>
        <xdr:cNvGrpSpPr>
          <a:grpSpLocks noChangeAspect="1"/>
        </xdr:cNvGrpSpPr>
      </xdr:nvGrpSpPr>
      <xdr:grpSpPr>
        <a:xfrm>
          <a:off x="28467050" y="603250"/>
          <a:ext cx="1503045" cy="1784350"/>
          <a:chOff x="2" y="0"/>
          <a:chExt cx="2520000" cy="3200401"/>
        </a:xfrm>
      </xdr:grpSpPr>
      <xdr:pic>
        <xdr:nvPicPr>
          <xdr:cNvPr id="67" name="Afbeelding 66">
            <a:extLst>
              <a:ext uri="{FF2B5EF4-FFF2-40B4-BE49-F238E27FC236}">
                <a16:creationId xmlns:a16="http://schemas.microsoft.com/office/drawing/2014/main" id="{84CA075B-6312-451B-A7C7-B21427EC8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68" name="Afbeelding 67">
            <a:extLst>
              <a:ext uri="{FF2B5EF4-FFF2-40B4-BE49-F238E27FC236}">
                <a16:creationId xmlns:a16="http://schemas.microsoft.com/office/drawing/2014/main" id="{B6163BC8-436D-4716-B4E9-E03F7D3581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69" name="Rechte verbindingslijn 68">
            <a:extLst>
              <a:ext uri="{FF2B5EF4-FFF2-40B4-BE49-F238E27FC236}">
                <a16:creationId xmlns:a16="http://schemas.microsoft.com/office/drawing/2014/main" id="{1E2A4CE5-5D4F-4618-90D8-61D7CB14789F}"/>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70" name="Rechte verbindingslijn 69">
            <a:extLst>
              <a:ext uri="{FF2B5EF4-FFF2-40B4-BE49-F238E27FC236}">
                <a16:creationId xmlns:a16="http://schemas.microsoft.com/office/drawing/2014/main" id="{DE756C91-89AE-4E16-A22A-3B7CE7001F28}"/>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1" name="Rechte verbindingslijn 70">
            <a:extLst>
              <a:ext uri="{FF2B5EF4-FFF2-40B4-BE49-F238E27FC236}">
                <a16:creationId xmlns:a16="http://schemas.microsoft.com/office/drawing/2014/main" id="{650A68FF-FF71-4D6D-B1FC-F13CB826B223}"/>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72" name="Afbeelding 71">
            <a:extLst>
              <a:ext uri="{FF2B5EF4-FFF2-40B4-BE49-F238E27FC236}">
                <a16:creationId xmlns:a16="http://schemas.microsoft.com/office/drawing/2014/main" id="{405A7982-9A37-4A61-95D2-C3180A94E5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8249"/>
            <a:ext cx="922867" cy="483000"/>
          </a:xfrm>
          <a:prstGeom prst="rect">
            <a:avLst/>
          </a:prstGeom>
        </xdr:spPr>
      </xdr:pic>
    </xdr:grpSp>
    <xdr:clientData/>
  </xdr:twoCellAnchor>
  <xdr:twoCellAnchor>
    <xdr:from>
      <xdr:col>35</xdr:col>
      <xdr:colOff>0</xdr:colOff>
      <xdr:row>16</xdr:row>
      <xdr:rowOff>0</xdr:rowOff>
    </xdr:from>
    <xdr:to>
      <xdr:col>37</xdr:col>
      <xdr:colOff>220345</xdr:colOff>
      <xdr:row>25</xdr:row>
      <xdr:rowOff>114300</xdr:rowOff>
    </xdr:to>
    <xdr:grpSp>
      <xdr:nvGrpSpPr>
        <xdr:cNvPr id="73" name="Groep 72">
          <a:extLst>
            <a:ext uri="{FF2B5EF4-FFF2-40B4-BE49-F238E27FC236}">
              <a16:creationId xmlns:a16="http://schemas.microsoft.com/office/drawing/2014/main" id="{07F08AB2-413A-4CD6-9464-A4CB0FB63477}"/>
            </a:ext>
          </a:extLst>
        </xdr:cNvPr>
        <xdr:cNvGrpSpPr>
          <a:grpSpLocks noChangeAspect="1"/>
        </xdr:cNvGrpSpPr>
      </xdr:nvGrpSpPr>
      <xdr:grpSpPr>
        <a:xfrm>
          <a:off x="28467050" y="2997200"/>
          <a:ext cx="1503045" cy="1784350"/>
          <a:chOff x="2" y="0"/>
          <a:chExt cx="2520000" cy="3200401"/>
        </a:xfrm>
      </xdr:grpSpPr>
      <xdr:pic>
        <xdr:nvPicPr>
          <xdr:cNvPr id="74" name="Afbeelding 73">
            <a:extLst>
              <a:ext uri="{FF2B5EF4-FFF2-40B4-BE49-F238E27FC236}">
                <a16:creationId xmlns:a16="http://schemas.microsoft.com/office/drawing/2014/main" id="{EC22B9EB-9D69-4FBB-A4C5-307E37A2C0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75" name="Afbeelding 74">
            <a:extLst>
              <a:ext uri="{FF2B5EF4-FFF2-40B4-BE49-F238E27FC236}">
                <a16:creationId xmlns:a16="http://schemas.microsoft.com/office/drawing/2014/main" id="{5696DD6A-8787-4EB3-A65E-6208421C447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76" name="Rechte verbindingslijn 75">
            <a:extLst>
              <a:ext uri="{FF2B5EF4-FFF2-40B4-BE49-F238E27FC236}">
                <a16:creationId xmlns:a16="http://schemas.microsoft.com/office/drawing/2014/main" id="{E39B0E52-0DD9-46F6-B2CF-E02A1438F289}"/>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77" name="Rechte verbindingslijn 76">
            <a:extLst>
              <a:ext uri="{FF2B5EF4-FFF2-40B4-BE49-F238E27FC236}">
                <a16:creationId xmlns:a16="http://schemas.microsoft.com/office/drawing/2014/main" id="{7CE1CFFD-5A8D-4379-A36C-585E79536751}"/>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78" name="Rechte verbindingslijn 77">
            <a:extLst>
              <a:ext uri="{FF2B5EF4-FFF2-40B4-BE49-F238E27FC236}">
                <a16:creationId xmlns:a16="http://schemas.microsoft.com/office/drawing/2014/main" id="{8A886C1A-4001-44AA-A671-AE138652C8A4}"/>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79" name="Afbeelding 78">
            <a:extLst>
              <a:ext uri="{FF2B5EF4-FFF2-40B4-BE49-F238E27FC236}">
                <a16:creationId xmlns:a16="http://schemas.microsoft.com/office/drawing/2014/main" id="{16A27BC5-307F-43E3-B700-7F35304FEC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grpSp>
    <xdr:clientData/>
  </xdr:twoCellAnchor>
  <xdr:twoCellAnchor>
    <xdr:from>
      <xdr:col>35</xdr:col>
      <xdr:colOff>0</xdr:colOff>
      <xdr:row>29</xdr:row>
      <xdr:rowOff>0</xdr:rowOff>
    </xdr:from>
    <xdr:to>
      <xdr:col>37</xdr:col>
      <xdr:colOff>220345</xdr:colOff>
      <xdr:row>38</xdr:row>
      <xdr:rowOff>152400</xdr:rowOff>
    </xdr:to>
    <xdr:grpSp>
      <xdr:nvGrpSpPr>
        <xdr:cNvPr id="80" name="Groep 79">
          <a:extLst>
            <a:ext uri="{FF2B5EF4-FFF2-40B4-BE49-F238E27FC236}">
              <a16:creationId xmlns:a16="http://schemas.microsoft.com/office/drawing/2014/main" id="{CDDD1B4C-AAFF-49B1-9BC9-555DE3D6E716}"/>
            </a:ext>
          </a:extLst>
        </xdr:cNvPr>
        <xdr:cNvGrpSpPr>
          <a:grpSpLocks noChangeAspect="1"/>
        </xdr:cNvGrpSpPr>
      </xdr:nvGrpSpPr>
      <xdr:grpSpPr>
        <a:xfrm>
          <a:off x="28467050" y="5378450"/>
          <a:ext cx="1503045" cy="1790700"/>
          <a:chOff x="2" y="0"/>
          <a:chExt cx="2520000" cy="3200401"/>
        </a:xfrm>
      </xdr:grpSpPr>
      <xdr:pic>
        <xdr:nvPicPr>
          <xdr:cNvPr id="81" name="Afbeelding 80">
            <a:extLst>
              <a:ext uri="{FF2B5EF4-FFF2-40B4-BE49-F238E27FC236}">
                <a16:creationId xmlns:a16="http://schemas.microsoft.com/office/drawing/2014/main" id="{2AAECDFA-C1F3-4829-90CE-DCBC16C423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7789" y="105634"/>
            <a:ext cx="922867" cy="483000"/>
          </a:xfrm>
          <a:prstGeom prst="rect">
            <a:avLst/>
          </a:prstGeom>
        </xdr:spPr>
      </xdr:pic>
      <xdr:pic>
        <xdr:nvPicPr>
          <xdr:cNvPr id="82" name="Afbeelding 81">
            <a:extLst>
              <a:ext uri="{FF2B5EF4-FFF2-40B4-BE49-F238E27FC236}">
                <a16:creationId xmlns:a16="http://schemas.microsoft.com/office/drawing/2014/main" id="{85CD68DD-6F38-47E0-BDB6-6882EF8AAF0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7800" y="694267"/>
            <a:ext cx="2022593" cy="910167"/>
          </a:xfrm>
          <a:prstGeom prst="rect">
            <a:avLst/>
          </a:prstGeom>
        </xdr:spPr>
      </xdr:pic>
      <xdr:cxnSp macro="">
        <xdr:nvCxnSpPr>
          <xdr:cNvPr id="83" name="Rechte verbindingslijn 82">
            <a:extLst>
              <a:ext uri="{FF2B5EF4-FFF2-40B4-BE49-F238E27FC236}">
                <a16:creationId xmlns:a16="http://schemas.microsoft.com/office/drawing/2014/main" id="{5BE1C825-063A-44D8-97A5-615476A6BD11}"/>
              </a:ext>
            </a:extLst>
          </xdr:cNvPr>
          <xdr:cNvCxnSpPr/>
        </xdr:nvCxnSpPr>
        <xdr:spPr>
          <a:xfrm flipH="1">
            <a:off x="2" y="0"/>
            <a:ext cx="2520000" cy="0"/>
          </a:xfrm>
          <a:prstGeom prst="line">
            <a:avLst/>
          </a:prstGeom>
          <a:ln w="38100"/>
        </xdr:spPr>
        <xdr:style>
          <a:lnRef idx="1">
            <a:schemeClr val="dk1"/>
          </a:lnRef>
          <a:fillRef idx="0">
            <a:schemeClr val="dk1"/>
          </a:fillRef>
          <a:effectRef idx="0">
            <a:schemeClr val="dk1"/>
          </a:effectRef>
          <a:fontRef idx="minor">
            <a:schemeClr val="tx1"/>
          </a:fontRef>
        </xdr:style>
      </xdr:cxnSp>
      <xdr:cxnSp macro="">
        <xdr:nvCxnSpPr>
          <xdr:cNvPr id="84" name="Rechte verbindingslijn 83">
            <a:extLst>
              <a:ext uri="{FF2B5EF4-FFF2-40B4-BE49-F238E27FC236}">
                <a16:creationId xmlns:a16="http://schemas.microsoft.com/office/drawing/2014/main" id="{0FB45A65-4538-40F4-8E99-4359D656FDC6}"/>
              </a:ext>
            </a:extLst>
          </xdr:cNvPr>
          <xdr:cNvCxnSpPr/>
        </xdr:nvCxnSpPr>
        <xdr:spPr>
          <a:xfrm flipH="1">
            <a:off x="2" y="1604434"/>
            <a:ext cx="2520000" cy="0"/>
          </a:xfrm>
          <a:prstGeom prst="line">
            <a:avLst/>
          </a:prstGeom>
          <a:ln w="38100">
            <a:prstDash val="dash"/>
          </a:ln>
        </xdr:spPr>
        <xdr:style>
          <a:lnRef idx="1">
            <a:schemeClr val="dk1"/>
          </a:lnRef>
          <a:fillRef idx="0">
            <a:schemeClr val="dk1"/>
          </a:fillRef>
          <a:effectRef idx="0">
            <a:schemeClr val="dk1"/>
          </a:effectRef>
          <a:fontRef idx="minor">
            <a:schemeClr val="tx1"/>
          </a:fontRef>
        </xdr:style>
      </xdr:cxnSp>
      <xdr:cxnSp macro="">
        <xdr:nvCxnSpPr>
          <xdr:cNvPr id="85" name="Rechte verbindingslijn 84">
            <a:extLst>
              <a:ext uri="{FF2B5EF4-FFF2-40B4-BE49-F238E27FC236}">
                <a16:creationId xmlns:a16="http://schemas.microsoft.com/office/drawing/2014/main" id="{A7B018EE-9C92-4EBA-844A-A723D4ED8947}"/>
              </a:ext>
            </a:extLst>
          </xdr:cNvPr>
          <xdr:cNvCxnSpPr/>
        </xdr:nvCxnSpPr>
        <xdr:spPr>
          <a:xfrm flipH="1">
            <a:off x="2" y="3200401"/>
            <a:ext cx="2520000" cy="0"/>
          </a:xfrm>
          <a:prstGeom prst="line">
            <a:avLst/>
          </a:prstGeom>
          <a:ln w="38100"/>
        </xdr:spPr>
        <xdr:style>
          <a:lnRef idx="1">
            <a:schemeClr val="dk1"/>
          </a:lnRef>
          <a:fillRef idx="0">
            <a:schemeClr val="dk1"/>
          </a:fillRef>
          <a:effectRef idx="0">
            <a:schemeClr val="dk1"/>
          </a:effectRef>
          <a:fontRef idx="minor">
            <a:schemeClr val="tx1"/>
          </a:fontRef>
        </xdr:style>
      </xdr:cxnSp>
      <xdr:pic>
        <xdr:nvPicPr>
          <xdr:cNvPr id="86" name="Afbeelding 85">
            <a:extLst>
              <a:ext uri="{FF2B5EF4-FFF2-40B4-BE49-F238E27FC236}">
                <a16:creationId xmlns:a16="http://schemas.microsoft.com/office/drawing/2014/main" id="{977BFADD-5A17-48BA-8CB2-E95A72F7D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flipH="1">
            <a:off x="248703" y="1710067"/>
            <a:ext cx="2022593" cy="910167"/>
          </a:xfrm>
          <a:prstGeom prst="rect">
            <a:avLst/>
          </a:prstGeom>
        </xdr:spPr>
      </xdr:pic>
      <xdr:pic>
        <xdr:nvPicPr>
          <xdr:cNvPr id="87" name="Afbeelding 86">
            <a:extLst>
              <a:ext uri="{FF2B5EF4-FFF2-40B4-BE49-F238E27FC236}">
                <a16:creationId xmlns:a16="http://schemas.microsoft.com/office/drawing/2014/main" id="{026D2D53-1693-4551-BF8A-C82C144031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867788" y="2514601"/>
            <a:ext cx="922867" cy="4830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37485</xdr:colOff>
      <xdr:row>4</xdr:row>
      <xdr:rowOff>28574</xdr:rowOff>
    </xdr:from>
    <xdr:to>
      <xdr:col>1</xdr:col>
      <xdr:colOff>7086285</xdr:colOff>
      <xdr:row>5</xdr:row>
      <xdr:rowOff>7372</xdr:rowOff>
    </xdr:to>
    <xdr:pic>
      <xdr:nvPicPr>
        <xdr:cNvPr id="8" name="Afbeelding 7">
          <a:extLst>
            <a:ext uri="{FF2B5EF4-FFF2-40B4-BE49-F238E27FC236}">
              <a16:creationId xmlns:a16="http://schemas.microsoft.com/office/drawing/2014/main" id="{9EA03F06-958F-42C2-9FCB-9DDA2857175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47085" y="7839074"/>
          <a:ext cx="7048800" cy="3788798"/>
        </a:xfrm>
        <a:prstGeom prst="rect">
          <a:avLst/>
        </a:prstGeom>
        <a:noFill/>
        <a:ln>
          <a:noFill/>
        </a:ln>
      </xdr:spPr>
    </xdr:pic>
    <xdr:clientData/>
  </xdr:twoCellAnchor>
  <xdr:twoCellAnchor editAs="oneCell">
    <xdr:from>
      <xdr:col>1</xdr:col>
      <xdr:colOff>39003</xdr:colOff>
      <xdr:row>5</xdr:row>
      <xdr:rowOff>38100</xdr:rowOff>
    </xdr:from>
    <xdr:to>
      <xdr:col>1</xdr:col>
      <xdr:colOff>7087803</xdr:colOff>
      <xdr:row>6</xdr:row>
      <xdr:rowOff>16898</xdr:rowOff>
    </xdr:to>
    <xdr:pic>
      <xdr:nvPicPr>
        <xdr:cNvPr id="9" name="Afbeelding 8">
          <a:extLst>
            <a:ext uri="{FF2B5EF4-FFF2-40B4-BE49-F238E27FC236}">
              <a16:creationId xmlns:a16="http://schemas.microsoft.com/office/drawing/2014/main" id="{21856744-6473-4EBA-BAC2-D76D0ABC58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48603" y="11658600"/>
          <a:ext cx="7048800" cy="3788798"/>
        </a:xfrm>
        <a:prstGeom prst="rect">
          <a:avLst/>
        </a:prstGeom>
        <a:noFill/>
        <a:ln>
          <a:noFill/>
        </a:ln>
      </xdr:spPr>
    </xdr:pic>
    <xdr:clientData/>
  </xdr:twoCellAnchor>
  <xdr:twoCellAnchor>
    <xdr:from>
      <xdr:col>1</xdr:col>
      <xdr:colOff>600075</xdr:colOff>
      <xdr:row>6</xdr:row>
      <xdr:rowOff>419100</xdr:rowOff>
    </xdr:from>
    <xdr:to>
      <xdr:col>1</xdr:col>
      <xdr:colOff>3667125</xdr:colOff>
      <xdr:row>6</xdr:row>
      <xdr:rowOff>1752600</xdr:rowOff>
    </xdr:to>
    <xdr:sp macro="" textlink="">
      <xdr:nvSpPr>
        <xdr:cNvPr id="10" name="Rechthoek 9">
          <a:extLst>
            <a:ext uri="{FF2B5EF4-FFF2-40B4-BE49-F238E27FC236}">
              <a16:creationId xmlns:a16="http://schemas.microsoft.com/office/drawing/2014/main" id="{AFC7F5C7-1F69-425B-AFC9-3183201FE479}"/>
            </a:ext>
          </a:extLst>
        </xdr:cNvPr>
        <xdr:cNvSpPr/>
      </xdr:nvSpPr>
      <xdr:spPr>
        <a:xfrm>
          <a:off x="1209675" y="9953625"/>
          <a:ext cx="3067050" cy="13335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editAs="oneCell">
    <xdr:from>
      <xdr:col>1</xdr:col>
      <xdr:colOff>0</xdr:colOff>
      <xdr:row>1</xdr:row>
      <xdr:rowOff>0</xdr:rowOff>
    </xdr:from>
    <xdr:to>
      <xdr:col>1</xdr:col>
      <xdr:colOff>7048500</xdr:colOff>
      <xdr:row>1</xdr:row>
      <xdr:rowOff>3788637</xdr:rowOff>
    </xdr:to>
    <xdr:pic>
      <xdr:nvPicPr>
        <xdr:cNvPr id="11" name="Afbeelding 10">
          <a:extLst>
            <a:ext uri="{FF2B5EF4-FFF2-40B4-BE49-F238E27FC236}">
              <a16:creationId xmlns:a16="http://schemas.microsoft.com/office/drawing/2014/main" id="{247006FC-BC71-47F9-B0FF-13E34E453C4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609600" y="190500"/>
          <a:ext cx="7048500" cy="3788637"/>
        </a:xfrm>
        <a:prstGeom prst="rect">
          <a:avLst/>
        </a:prstGeom>
        <a:noFill/>
        <a:ln>
          <a:noFill/>
        </a:ln>
      </xdr:spPr>
    </xdr:pic>
    <xdr:clientData/>
  </xdr:twoCellAnchor>
  <xdr:twoCellAnchor editAs="oneCell">
    <xdr:from>
      <xdr:col>0</xdr:col>
      <xdr:colOff>609599</xdr:colOff>
      <xdr:row>1</xdr:row>
      <xdr:rowOff>3809999</xdr:rowOff>
    </xdr:from>
    <xdr:to>
      <xdr:col>1</xdr:col>
      <xdr:colOff>7048799</xdr:colOff>
      <xdr:row>2</xdr:row>
      <xdr:rowOff>3788797</xdr:rowOff>
    </xdr:to>
    <xdr:pic>
      <xdr:nvPicPr>
        <xdr:cNvPr id="12" name="Afbeelding 11">
          <a:extLst>
            <a:ext uri="{FF2B5EF4-FFF2-40B4-BE49-F238E27FC236}">
              <a16:creationId xmlns:a16="http://schemas.microsoft.com/office/drawing/2014/main" id="{43EB0B38-CF77-4C44-B116-F60FC9044F4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09599" y="4000499"/>
          <a:ext cx="7048800" cy="3788798"/>
        </a:xfrm>
        <a:prstGeom prst="rect">
          <a:avLst/>
        </a:prstGeom>
        <a:noFill/>
        <a:ln>
          <a:noFill/>
        </a:ln>
      </xdr:spPr>
    </xdr:pic>
    <xdr:clientData/>
  </xdr:twoCellAnchor>
  <xdr:twoCellAnchor editAs="oneCell">
    <xdr:from>
      <xdr:col>1</xdr:col>
      <xdr:colOff>9525</xdr:colOff>
      <xdr:row>3</xdr:row>
      <xdr:rowOff>9525</xdr:rowOff>
    </xdr:from>
    <xdr:to>
      <xdr:col>1</xdr:col>
      <xdr:colOff>7058325</xdr:colOff>
      <xdr:row>3</xdr:row>
      <xdr:rowOff>3798323</xdr:rowOff>
    </xdr:to>
    <xdr:pic>
      <xdr:nvPicPr>
        <xdr:cNvPr id="7" name="Afbeelding 6">
          <a:extLst>
            <a:ext uri="{FF2B5EF4-FFF2-40B4-BE49-F238E27FC236}">
              <a16:creationId xmlns:a16="http://schemas.microsoft.com/office/drawing/2014/main" id="{783540B3-C8F3-477A-A7E1-4E3B4BD554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619125" y="7820025"/>
          <a:ext cx="7048800" cy="3788798"/>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76FC9FB-C066-4710-ACD0-A2BC6DF82BF2}" name="maatgevende_combinatie" displayName="maatgevende_combinatie" ref="A1:B7" totalsRowShown="0">
  <autoFilter ref="A1:B7" xr:uid="{D2B71222-1201-4F93-93E8-A885FD5FC53A}"/>
  <tableColumns count="2">
    <tableColumn id="1" xr3:uid="{20220CF0-8495-48E9-B85F-92CCB22C474A}" name="maatgevende combinatie"/>
    <tableColumn id="2" xr3:uid="{A9ED3E60-C31A-4B7B-B29B-B0CCA1213A38}" name="wegbreedte"/>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6745D5-DC99-43F9-9C7A-C871DF0FBAA3}" name="kritische_breedtes" displayName="kritische_breedtes" ref="E1:G26" totalsRowShown="0">
  <autoFilter ref="E1:G26" xr:uid="{841072A7-BCB1-4743-931A-AB696C99F681}"/>
  <tableColumns count="3">
    <tableColumn id="1" xr3:uid="{962A8BB6-436E-4FA1-8FBD-73B6F8F60D05}" name="ontmoeting"/>
    <tableColumn id="2" xr3:uid="{724886BE-2721-4754-A07E-6ADE1EFAFD7A}" name="onmogelijk tot breedte (m)"/>
    <tableColumn id="3" xr3:uid="{6B52241B-C794-42C2-B9E4-9C7BFAF4CAE7}" name="kritisch tot breedte (m)"/>
  </tableColumns>
  <tableStyleInfo name="TableStyleMedium9" showFirstColumn="0" showLastColumn="0" showRowStripes="1" showColumnStripes="0"/>
</table>
</file>

<file path=xl/theme/theme1.xml><?xml version="1.0" encoding="utf-8"?>
<a:theme xmlns:a="http://schemas.openxmlformats.org/drawingml/2006/main" name="DTV Consultants">
  <a:themeElements>
    <a:clrScheme name="DTV Consultants">
      <a:dk1>
        <a:srgbClr val="44546A"/>
      </a:dk1>
      <a:lt1>
        <a:sysClr val="window" lastClr="FFFFFF"/>
      </a:lt1>
      <a:dk2>
        <a:srgbClr val="44546A"/>
      </a:dk2>
      <a:lt2>
        <a:srgbClr val="E7E6E6"/>
      </a:lt2>
      <a:accent1>
        <a:srgbClr val="45B39D"/>
      </a:accent1>
      <a:accent2>
        <a:srgbClr val="F0CA4C"/>
      </a:accent2>
      <a:accent3>
        <a:srgbClr val="E47E3F"/>
      </a:accent3>
      <a:accent4>
        <a:srgbClr val="E83B57"/>
      </a:accent4>
      <a:accent5>
        <a:srgbClr val="3C3C3B"/>
      </a:accent5>
      <a:accent6>
        <a:srgbClr val="334D5C"/>
      </a:accent6>
      <a:hlink>
        <a:srgbClr val="44546A"/>
      </a:hlink>
      <a:folHlink>
        <a:srgbClr val="45B39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fietsberaad@crow.nl" TargetMode="External"/><Relationship Id="rId2" Type="http://schemas.openxmlformats.org/officeDocument/2006/relationships/hyperlink" Target="https://www.fietsberaad.nl/Kennisbank/Fietsberaadpublicatie-32-Evaluatie-Fietstraten" TargetMode="External"/><Relationship Id="rId1" Type="http://schemas.openxmlformats.org/officeDocument/2006/relationships/hyperlink" Target="https://www.fietsberaad.nl/Kennisbank/Fietsberaadnotitie-Aanbevelingen-fietsstraten-binn"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73AA4-5FA8-459C-BBFD-C4E272B1F734}">
  <sheetPr codeName="Blad1"/>
  <dimension ref="A1:K11"/>
  <sheetViews>
    <sheetView tabSelected="1" workbookViewId="0">
      <selection activeCell="B5" sqref="B5:K5"/>
    </sheetView>
  </sheetViews>
  <sheetFormatPr defaultColWidth="0" defaultRowHeight="12.5" zeroHeight="1"/>
  <cols>
    <col min="1" max="11" width="9.1796875" customWidth="1"/>
    <col min="12" max="16384" width="9.1796875" hidden="1"/>
  </cols>
  <sheetData>
    <row r="1" spans="1:11" ht="62.5" customHeight="1">
      <c r="A1" s="5"/>
      <c r="B1" s="5"/>
      <c r="C1" s="5"/>
      <c r="D1" s="5"/>
      <c r="E1" s="5"/>
      <c r="F1" s="5"/>
      <c r="G1" s="5"/>
      <c r="H1" s="5"/>
      <c r="I1" s="5"/>
      <c r="J1" s="5"/>
      <c r="K1" s="5"/>
    </row>
    <row r="2" spans="1:11">
      <c r="A2" s="5"/>
      <c r="B2" s="5"/>
      <c r="C2" s="5"/>
      <c r="D2" s="5"/>
      <c r="E2" s="5"/>
      <c r="F2" s="5"/>
      <c r="G2" s="5"/>
      <c r="H2" s="5"/>
      <c r="I2" s="5"/>
      <c r="J2" s="5"/>
      <c r="K2" s="5"/>
    </row>
    <row r="3" spans="1:11" ht="26.5" customHeight="1">
      <c r="A3" s="35" t="s">
        <v>0</v>
      </c>
      <c r="B3" s="35"/>
      <c r="C3" s="35"/>
      <c r="D3" s="35"/>
      <c r="E3" s="35"/>
      <c r="F3" s="35"/>
      <c r="G3" s="35"/>
      <c r="H3" s="35"/>
      <c r="I3" s="35"/>
      <c r="J3" s="35"/>
      <c r="K3" s="35"/>
    </row>
    <row r="4" spans="1:11" ht="22" customHeight="1">
      <c r="A4" s="28" t="s">
        <v>222</v>
      </c>
      <c r="B4" s="3"/>
      <c r="C4" s="3"/>
      <c r="D4" s="3"/>
      <c r="E4" s="3"/>
      <c r="F4" s="3"/>
      <c r="G4" s="3"/>
      <c r="H4" s="3"/>
      <c r="I4" s="3"/>
      <c r="J4" s="3"/>
      <c r="K4" s="3"/>
    </row>
    <row r="5" spans="1:11" ht="42" customHeight="1">
      <c r="A5" s="5"/>
      <c r="B5" s="60" t="s">
        <v>1</v>
      </c>
      <c r="C5" s="60"/>
      <c r="D5" s="60"/>
      <c r="E5" s="60"/>
      <c r="F5" s="60"/>
      <c r="G5" s="60"/>
      <c r="H5" s="60"/>
      <c r="I5" s="60"/>
      <c r="J5" s="60"/>
      <c r="K5" s="60"/>
    </row>
    <row r="6" spans="1:11" ht="28.5" customHeight="1">
      <c r="A6" s="5"/>
      <c r="B6" s="60" t="s">
        <v>2</v>
      </c>
      <c r="C6" s="60"/>
      <c r="D6" s="60"/>
      <c r="E6" s="60"/>
      <c r="F6" s="60"/>
      <c r="G6" s="60"/>
      <c r="H6" s="60"/>
      <c r="I6" s="60"/>
      <c r="J6" s="60"/>
      <c r="K6" s="60"/>
    </row>
    <row r="7" spans="1:11" ht="42.75" customHeight="1">
      <c r="A7" s="5"/>
      <c r="B7" s="61" t="s">
        <v>3</v>
      </c>
      <c r="C7" s="62"/>
      <c r="D7" s="62"/>
      <c r="E7" s="62"/>
      <c r="F7" s="62"/>
      <c r="G7" s="62"/>
      <c r="H7" s="62"/>
      <c r="I7" s="62"/>
      <c r="J7" s="62"/>
      <c r="K7" s="62"/>
    </row>
    <row r="8" spans="1:11">
      <c r="A8" s="5" t="s">
        <v>4</v>
      </c>
      <c r="B8" s="5"/>
      <c r="C8" s="5"/>
      <c r="D8" s="5"/>
      <c r="E8" s="5"/>
      <c r="F8" s="5"/>
      <c r="G8" s="5"/>
      <c r="H8" s="5"/>
      <c r="I8" s="5"/>
      <c r="J8" s="5"/>
      <c r="K8" s="5"/>
    </row>
    <row r="9" spans="1:11" ht="19.5">
      <c r="A9" s="35" t="s">
        <v>5</v>
      </c>
      <c r="B9" s="35"/>
      <c r="C9" s="35"/>
      <c r="D9" s="35"/>
      <c r="E9" s="35"/>
      <c r="F9" s="35"/>
      <c r="G9" s="35"/>
      <c r="H9" s="35"/>
      <c r="I9" s="35"/>
      <c r="J9" s="35"/>
      <c r="K9" s="35"/>
    </row>
    <row r="10" spans="1:11" ht="14.5">
      <c r="A10" s="63" t="s">
        <v>6</v>
      </c>
      <c r="B10" s="64"/>
      <c r="C10" s="64"/>
      <c r="D10" s="64"/>
      <c r="E10" s="64"/>
      <c r="F10" s="64"/>
      <c r="G10" s="64"/>
      <c r="H10" s="64"/>
      <c r="I10" s="64"/>
      <c r="J10" s="64"/>
      <c r="K10" s="64"/>
    </row>
    <row r="11" spans="1:11" ht="14.5">
      <c r="A11" s="63" t="s">
        <v>7</v>
      </c>
      <c r="B11" s="64"/>
      <c r="C11" s="64"/>
      <c r="D11" s="64"/>
      <c r="E11" s="64"/>
      <c r="F11" s="64"/>
      <c r="G11" s="64"/>
      <c r="H11" s="64"/>
      <c r="I11" s="64"/>
      <c r="J11" s="64"/>
      <c r="K11" s="64"/>
    </row>
  </sheetData>
  <mergeCells count="5">
    <mergeCell ref="B5:K5"/>
    <mergeCell ref="B6:K6"/>
    <mergeCell ref="B7:K7"/>
    <mergeCell ref="A10:K10"/>
    <mergeCell ref="A11:K11"/>
  </mergeCells>
  <hyperlinks>
    <hyperlink ref="A10" r:id="rId1" xr:uid="{820F70FB-4E6E-4B20-8C95-697D79670AEE}"/>
    <hyperlink ref="A11" r:id="rId2" xr:uid="{C17542EA-B60D-48F0-9D49-0D93317CF853}"/>
    <hyperlink ref="B7:K7" r:id="rId3" display="We beschouwen deze tool als een eerste prototype. Afhankelijk van de reacties willen we bepalen of we de tool verder willen verbeteren. Reacties en gebruikerservaringen zijn daarom meer dan welkom via fietsberaad@crow.nl." xr:uid="{03F43829-9403-4915-B957-17F78A268CFB}"/>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7241F-3780-493E-AF3A-B66BC476260D}">
  <sheetPr codeName="Blad2"/>
  <dimension ref="A1:U118"/>
  <sheetViews>
    <sheetView topLeftCell="A12" workbookViewId="0">
      <selection activeCell="C18" sqref="C18"/>
    </sheetView>
  </sheetViews>
  <sheetFormatPr defaultColWidth="0" defaultRowHeight="13" zeroHeight="1"/>
  <cols>
    <col min="1" max="1" width="8.7265625" style="1" customWidth="1"/>
    <col min="2" max="2" width="40.453125" style="1" customWidth="1"/>
    <col min="3" max="9" width="8.7265625" style="1" customWidth="1"/>
    <col min="10" max="13" width="8.7265625" style="1" hidden="1" customWidth="1"/>
    <col min="14" max="14" width="39.81640625" style="1" hidden="1" customWidth="1"/>
    <col min="15" max="19" width="8.7265625" style="1" hidden="1" customWidth="1"/>
    <col min="20" max="20" width="39.81640625" style="1" hidden="1" customWidth="1"/>
    <col min="21" max="16384" width="8.7265625" style="1" hidden="1"/>
  </cols>
  <sheetData>
    <row r="1" spans="1:10" ht="30" customHeight="1">
      <c r="A1" s="49" t="s">
        <v>8</v>
      </c>
      <c r="B1" s="35"/>
      <c r="C1" s="35"/>
      <c r="D1" s="35"/>
      <c r="E1" s="35"/>
      <c r="F1" s="35"/>
      <c r="G1" s="35"/>
      <c r="H1" s="35"/>
      <c r="I1" s="35"/>
      <c r="J1" s="2"/>
    </row>
    <row r="2" spans="1:10" ht="28.5" customHeight="1">
      <c r="A2" s="2"/>
      <c r="B2" s="60" t="s">
        <v>9</v>
      </c>
      <c r="C2" s="65"/>
      <c r="D2" s="65"/>
      <c r="E2" s="65"/>
      <c r="F2" s="65"/>
      <c r="G2" s="65"/>
      <c r="H2" s="65"/>
      <c r="I2" s="2"/>
      <c r="J2" s="2"/>
    </row>
    <row r="3" spans="1:10" ht="14.5">
      <c r="A3" s="2"/>
      <c r="B3" s="27" t="s">
        <v>10</v>
      </c>
      <c r="C3" s="2"/>
      <c r="D3" s="2"/>
      <c r="E3" s="2"/>
      <c r="F3" s="2"/>
      <c r="G3" s="2"/>
      <c r="H3" s="2"/>
      <c r="I3" s="2"/>
      <c r="J3" s="2"/>
    </row>
    <row r="4" spans="1:10" ht="14.5">
      <c r="A4" s="2"/>
      <c r="B4" s="27" t="s">
        <v>11</v>
      </c>
      <c r="C4" s="2"/>
      <c r="D4" s="2"/>
      <c r="E4" s="2"/>
      <c r="F4" s="2"/>
      <c r="G4" s="2"/>
      <c r="H4" s="2"/>
      <c r="I4" s="2"/>
      <c r="J4" s="2"/>
    </row>
    <row r="5" spans="1:10">
      <c r="A5" s="2"/>
      <c r="B5" s="25"/>
      <c r="C5" s="2"/>
      <c r="D5" s="2"/>
      <c r="E5" s="2"/>
      <c r="F5" s="2"/>
      <c r="G5" s="2"/>
      <c r="H5" s="2"/>
      <c r="I5" s="2"/>
      <c r="J5" s="2"/>
    </row>
    <row r="6" spans="1:10" ht="19.5">
      <c r="A6" s="35" t="s">
        <v>12</v>
      </c>
      <c r="B6" s="36"/>
      <c r="C6" s="35"/>
      <c r="D6" s="35"/>
      <c r="E6" s="35"/>
      <c r="F6" s="35"/>
      <c r="G6" s="35"/>
      <c r="H6" s="35"/>
      <c r="I6" s="35"/>
      <c r="J6" s="2"/>
    </row>
    <row r="7" spans="1:10" ht="42.75" customHeight="1">
      <c r="A7" s="2"/>
      <c r="B7" s="73" t="s">
        <v>13</v>
      </c>
      <c r="C7" s="74"/>
      <c r="D7" s="74"/>
      <c r="E7" s="74"/>
      <c r="F7" s="74"/>
      <c r="G7" s="74"/>
      <c r="H7" s="74"/>
      <c r="I7" s="2"/>
      <c r="J7" s="2"/>
    </row>
    <row r="8" spans="1:10">
      <c r="A8" s="2"/>
      <c r="B8" s="2"/>
      <c r="C8" s="2"/>
      <c r="D8" s="2"/>
      <c r="E8" s="2"/>
      <c r="F8" s="2"/>
      <c r="G8" s="2"/>
      <c r="H8" s="2"/>
      <c r="I8" s="2"/>
      <c r="J8" s="2"/>
    </row>
    <row r="9" spans="1:10" ht="14.5">
      <c r="A9" s="3" t="s">
        <v>14</v>
      </c>
      <c r="B9" s="3"/>
      <c r="C9" s="2"/>
      <c r="D9" s="2"/>
      <c r="E9" s="2"/>
      <c r="F9" s="2"/>
      <c r="G9" s="2"/>
      <c r="H9" s="2"/>
      <c r="I9" s="2"/>
      <c r="J9" s="2"/>
    </row>
    <row r="10" spans="1:10" ht="23.5">
      <c r="A10" s="2"/>
      <c r="B10" s="70" t="s">
        <v>15</v>
      </c>
      <c r="C10" s="71"/>
      <c r="D10" s="72"/>
      <c r="E10" s="5"/>
      <c r="F10" s="6" t="str">
        <f>VLOOKUP(B10,maatgevende_combinatie[#All],2,FALSE)</f>
        <v/>
      </c>
      <c r="G10" s="3" t="s">
        <v>16</v>
      </c>
      <c r="H10" s="2"/>
      <c r="I10" s="2"/>
      <c r="J10" s="2"/>
    </row>
    <row r="11" spans="1:10">
      <c r="A11" s="2"/>
      <c r="B11" s="2"/>
      <c r="C11" s="2"/>
      <c r="D11" s="2"/>
      <c r="E11" s="2"/>
      <c r="F11" s="2"/>
      <c r="G11" s="2"/>
      <c r="H11" s="2"/>
      <c r="I11" s="2"/>
      <c r="J11" s="2"/>
    </row>
    <row r="12" spans="1:10">
      <c r="A12" s="2"/>
      <c r="B12" s="2"/>
      <c r="C12" s="2"/>
      <c r="D12" s="2"/>
      <c r="E12" s="2"/>
      <c r="F12" s="2"/>
      <c r="G12" s="2"/>
      <c r="H12" s="2"/>
      <c r="I12" s="2"/>
      <c r="J12" s="2"/>
    </row>
    <row r="13" spans="1:10" ht="14.5">
      <c r="A13" s="3" t="s">
        <v>17</v>
      </c>
      <c r="B13" s="2"/>
      <c r="C13" s="2"/>
      <c r="D13" s="2"/>
      <c r="E13" s="2"/>
      <c r="F13" s="2"/>
      <c r="G13" s="2"/>
      <c r="H13" s="2"/>
      <c r="I13" s="2"/>
      <c r="J13" s="2"/>
    </row>
    <row r="14" spans="1:10" ht="25.15" customHeight="1" thickBot="1">
      <c r="A14" s="2"/>
      <c r="B14" s="2"/>
      <c r="C14" s="37" t="s">
        <v>18</v>
      </c>
      <c r="D14" s="37"/>
      <c r="E14" s="2"/>
      <c r="F14" s="37" t="s">
        <v>19</v>
      </c>
      <c r="G14" s="37"/>
      <c r="H14" s="2"/>
      <c r="I14" s="2"/>
      <c r="J14" s="2"/>
    </row>
    <row r="15" spans="1:10" ht="15" thickTop="1">
      <c r="A15" s="2"/>
      <c r="B15" s="2"/>
      <c r="C15" s="50" t="s">
        <v>20</v>
      </c>
      <c r="D15" s="50" t="s">
        <v>21</v>
      </c>
      <c r="E15" s="2"/>
      <c r="F15" s="50" t="s">
        <v>20</v>
      </c>
      <c r="G15" s="50" t="s">
        <v>21</v>
      </c>
      <c r="H15" s="2"/>
      <c r="I15" s="2"/>
      <c r="J15" s="2"/>
    </row>
    <row r="16" spans="1:10" ht="14.5">
      <c r="A16" s="2"/>
      <c r="B16" s="3" t="s">
        <v>22</v>
      </c>
      <c r="C16" s="29">
        <v>100</v>
      </c>
      <c r="D16" s="29">
        <v>100</v>
      </c>
      <c r="E16" s="2"/>
      <c r="F16" s="29">
        <v>200</v>
      </c>
      <c r="G16" s="29">
        <v>100</v>
      </c>
      <c r="H16" s="2"/>
      <c r="I16" s="2"/>
      <c r="J16" s="2"/>
    </row>
    <row r="17" spans="1:10" ht="14.5">
      <c r="A17" s="2"/>
      <c r="B17" s="3" t="s">
        <v>23</v>
      </c>
      <c r="C17" s="30">
        <v>0.55000000000000004</v>
      </c>
      <c r="D17" s="30">
        <v>0.55000000000000004</v>
      </c>
      <c r="E17" s="2"/>
      <c r="F17" s="30">
        <v>0.55000000000000004</v>
      </c>
      <c r="G17" s="30">
        <v>0.55000000000000004</v>
      </c>
      <c r="H17" s="2"/>
      <c r="I17" s="2"/>
      <c r="J17" s="2"/>
    </row>
    <row r="18" spans="1:10" ht="14.5">
      <c r="A18" s="2"/>
      <c r="B18" s="3" t="s">
        <v>24</v>
      </c>
      <c r="C18" s="31">
        <f>1-fiets_ri1_var1</f>
        <v>0.44999999999999996</v>
      </c>
      <c r="D18" s="31">
        <f>1-auto_ri1_var1</f>
        <v>0.44999999999999996</v>
      </c>
      <c r="E18" s="2"/>
      <c r="F18" s="31">
        <f>1-fiets_ri1_var2</f>
        <v>0.44999999999999996</v>
      </c>
      <c r="G18" s="31">
        <f>1-auto_ri1_var2</f>
        <v>0.44999999999999996</v>
      </c>
      <c r="H18" s="2"/>
      <c r="I18" s="2"/>
      <c r="J18" s="2"/>
    </row>
    <row r="19" spans="1:10" ht="14.5">
      <c r="A19" s="2"/>
      <c r="B19" s="3" t="s">
        <v>25</v>
      </c>
      <c r="C19" s="59">
        <v>18</v>
      </c>
      <c r="D19" s="59">
        <v>35</v>
      </c>
      <c r="E19" s="2"/>
      <c r="F19" s="59">
        <v>18</v>
      </c>
      <c r="G19" s="59">
        <v>35</v>
      </c>
      <c r="H19" s="2"/>
      <c r="I19" s="2"/>
      <c r="J19" s="2"/>
    </row>
    <row r="20" spans="1:10">
      <c r="A20" s="2"/>
      <c r="B20" s="2"/>
      <c r="C20" s="2"/>
      <c r="D20" s="2"/>
      <c r="E20" s="2"/>
      <c r="F20" s="2"/>
      <c r="G20" s="2"/>
      <c r="H20" s="2"/>
      <c r="I20" s="2"/>
      <c r="J20" s="2"/>
    </row>
    <row r="21" spans="1:10" ht="14.5">
      <c r="A21" s="2"/>
      <c r="B21" s="3" t="s">
        <v>26</v>
      </c>
      <c r="C21" s="30">
        <v>0.1</v>
      </c>
      <c r="D21" s="2"/>
      <c r="E21" s="2"/>
      <c r="F21" s="30">
        <v>0.1</v>
      </c>
      <c r="G21" s="2"/>
      <c r="H21" s="2"/>
      <c r="I21" s="2"/>
      <c r="J21" s="2"/>
    </row>
    <row r="22" spans="1:10" ht="14.5">
      <c r="A22" s="2"/>
      <c r="B22" s="3" t="s">
        <v>27</v>
      </c>
      <c r="C22" s="30">
        <v>0.02</v>
      </c>
      <c r="D22" s="2"/>
      <c r="E22" s="2"/>
      <c r="F22" s="30">
        <v>0.02</v>
      </c>
      <c r="G22" s="2"/>
      <c r="H22" s="2"/>
      <c r="I22" s="2"/>
      <c r="J22" s="2"/>
    </row>
    <row r="23" spans="1:10">
      <c r="A23" s="2"/>
      <c r="B23" s="2"/>
      <c r="C23" s="2"/>
      <c r="D23" s="2"/>
      <c r="E23" s="2"/>
      <c r="F23" s="2"/>
      <c r="G23" s="2"/>
      <c r="H23" s="2"/>
      <c r="I23" s="2"/>
      <c r="J23" s="2"/>
    </row>
    <row r="24" spans="1:10" ht="14.5">
      <c r="A24" s="2"/>
      <c r="B24" s="3" t="s">
        <v>28</v>
      </c>
      <c r="C24" s="29">
        <v>0</v>
      </c>
      <c r="D24" s="3" t="s">
        <v>16</v>
      </c>
      <c r="E24" s="2"/>
      <c r="F24" s="29">
        <v>30</v>
      </c>
      <c r="G24" s="3" t="s">
        <v>16</v>
      </c>
      <c r="H24" s="2"/>
      <c r="I24" s="2"/>
      <c r="J24" s="2"/>
    </row>
    <row r="25" spans="1:10">
      <c r="A25" s="2"/>
      <c r="B25" s="2"/>
      <c r="C25" s="2"/>
      <c r="D25" s="2"/>
      <c r="E25" s="2"/>
      <c r="F25" s="2"/>
      <c r="G25" s="2"/>
      <c r="H25" s="2"/>
      <c r="I25" s="2"/>
      <c r="J25" s="2"/>
    </row>
    <row r="26" spans="1:10" ht="23.5">
      <c r="A26" s="2"/>
      <c r="B26" s="3" t="s">
        <v>29</v>
      </c>
      <c r="C26" s="4">
        <f t="array" ref="C26">MIN(IF('berekeningen variant 1'!$C$52:$AD$52&gt;=7,'berekeningen variant 1'!$C$1:$AD$1))+2*(rabatstrook_var1/2)</f>
        <v>390</v>
      </c>
      <c r="D26" s="3" t="s">
        <v>16</v>
      </c>
      <c r="E26" s="2"/>
      <c r="F26" s="4">
        <f t="array" ref="F26">MIN(IF('berekeningen variant 2'!$C$52:$AD$52&gt;=7,'berekeningen variant 2'!$C$1:$AD$1))+2*(rabatstrook_var2/2)</f>
        <v>420</v>
      </c>
      <c r="G26" s="3" t="s">
        <v>16</v>
      </c>
      <c r="H26" s="2"/>
      <c r="I26" s="2"/>
      <c r="J26" s="2"/>
    </row>
    <row r="27" spans="1:10">
      <c r="A27" s="2"/>
      <c r="B27" s="2"/>
      <c r="C27" s="2"/>
      <c r="D27" s="2"/>
      <c r="E27" s="2"/>
      <c r="F27" s="2"/>
      <c r="G27" s="2"/>
      <c r="H27" s="2"/>
      <c r="I27" s="2"/>
      <c r="J27" s="2"/>
    </row>
    <row r="28" spans="1:10">
      <c r="A28" s="2"/>
      <c r="B28" s="2"/>
      <c r="C28" s="2"/>
      <c r="D28" s="2"/>
      <c r="E28" s="2"/>
      <c r="F28" s="2"/>
      <c r="G28" s="2"/>
      <c r="H28" s="2"/>
      <c r="I28" s="2"/>
      <c r="J28" s="2"/>
    </row>
    <row r="29" spans="1:10" ht="14.5">
      <c r="A29" s="3" t="s">
        <v>30</v>
      </c>
      <c r="B29" s="3"/>
      <c r="C29" s="3"/>
      <c r="D29" s="3"/>
      <c r="E29" s="3"/>
      <c r="F29" s="3"/>
      <c r="G29" s="3"/>
      <c r="H29" s="3"/>
      <c r="I29" s="2"/>
      <c r="J29" s="2"/>
    </row>
    <row r="30" spans="1:10" ht="120" customHeight="1">
      <c r="A30" s="2"/>
      <c r="B30" s="60" t="s">
        <v>31</v>
      </c>
      <c r="C30" s="74"/>
      <c r="D30" s="74"/>
      <c r="E30" s="74"/>
      <c r="F30" s="74"/>
      <c r="G30" s="74"/>
      <c r="H30" s="74"/>
      <c r="I30" s="2"/>
      <c r="J30" s="2"/>
    </row>
    <row r="31" spans="1:10">
      <c r="A31" s="2"/>
      <c r="B31" s="26"/>
      <c r="C31" s="26"/>
      <c r="D31" s="26"/>
      <c r="E31" s="26"/>
      <c r="F31" s="26"/>
      <c r="G31" s="26"/>
      <c r="H31" s="26"/>
      <c r="I31" s="2"/>
      <c r="J31" s="2"/>
    </row>
    <row r="32" spans="1:10" ht="23.5">
      <c r="A32" s="2"/>
      <c r="B32" s="75" t="s">
        <v>32</v>
      </c>
      <c r="C32" s="76"/>
      <c r="D32" s="47">
        <v>400</v>
      </c>
      <c r="E32" s="24" t="s">
        <v>16</v>
      </c>
      <c r="F32" s="26"/>
      <c r="G32" s="26"/>
      <c r="H32" s="26"/>
      <c r="I32" s="2"/>
      <c r="J32" s="2"/>
    </row>
    <row r="33" spans="1:10">
      <c r="A33" s="2"/>
      <c r="B33" s="2"/>
      <c r="C33" s="2"/>
      <c r="D33" s="2"/>
      <c r="E33" s="2"/>
      <c r="F33" s="2"/>
      <c r="G33" s="2"/>
      <c r="H33" s="2"/>
      <c r="I33" s="2"/>
      <c r="J33" s="2"/>
    </row>
    <row r="34" spans="1:10">
      <c r="A34" s="2"/>
      <c r="B34" s="2"/>
      <c r="C34" s="2"/>
      <c r="D34" s="2"/>
      <c r="E34" s="2"/>
      <c r="F34" s="2"/>
      <c r="G34" s="2"/>
      <c r="H34" s="2"/>
      <c r="I34" s="2"/>
      <c r="J34" s="2"/>
    </row>
    <row r="35" spans="1:10" s="53" customFormat="1" ht="31.15" customHeight="1">
      <c r="A35" s="54" t="s">
        <v>33</v>
      </c>
      <c r="B35" s="51"/>
      <c r="C35" s="51"/>
      <c r="D35" s="51"/>
      <c r="E35" s="51"/>
      <c r="F35" s="51"/>
      <c r="G35" s="51"/>
      <c r="H35" s="51"/>
      <c r="I35" s="52"/>
      <c r="J35" s="52"/>
    </row>
    <row r="36" spans="1:10" ht="20.5" customHeight="1">
      <c r="A36" s="2"/>
      <c r="B36" s="2" t="s">
        <v>34</v>
      </c>
      <c r="D36" s="43">
        <f>MAX(F10,C26,D32)</f>
        <v>400</v>
      </c>
      <c r="E36" s="3" t="s">
        <v>16</v>
      </c>
      <c r="F36" s="2"/>
      <c r="G36" s="2"/>
      <c r="H36" s="2"/>
      <c r="I36" s="2"/>
      <c r="J36" s="2"/>
    </row>
    <row r="37" spans="1:10" ht="60" customHeight="1">
      <c r="A37" s="2"/>
      <c r="B37" s="60" t="s">
        <v>35</v>
      </c>
      <c r="C37" s="66"/>
      <c r="D37" s="66"/>
      <c r="E37" s="66"/>
      <c r="F37" s="66"/>
      <c r="G37" s="66"/>
      <c r="H37" s="66"/>
      <c r="I37" s="2"/>
      <c r="J37" s="2"/>
    </row>
    <row r="38" spans="1:10">
      <c r="A38" s="2"/>
      <c r="B38" s="2"/>
      <c r="C38" s="2"/>
      <c r="D38" s="2"/>
      <c r="E38" s="2"/>
      <c r="F38" s="2"/>
      <c r="G38" s="2"/>
      <c r="H38" s="2"/>
      <c r="I38" s="2"/>
      <c r="J38" s="2"/>
    </row>
    <row r="39" spans="1:10">
      <c r="A39" s="2"/>
      <c r="B39" s="2"/>
      <c r="C39" s="2"/>
      <c r="D39" s="2"/>
      <c r="E39" s="2"/>
      <c r="F39" s="2"/>
      <c r="G39" s="2"/>
      <c r="H39" s="2"/>
      <c r="I39" s="2"/>
      <c r="J39" s="2"/>
    </row>
    <row r="40" spans="1:10" ht="19.5">
      <c r="A40" s="35" t="s">
        <v>36</v>
      </c>
      <c r="B40" s="35"/>
      <c r="C40" s="35"/>
      <c r="D40" s="35"/>
      <c r="E40" s="35"/>
      <c r="F40" s="35"/>
      <c r="G40" s="35"/>
      <c r="H40" s="35"/>
      <c r="I40" s="2"/>
      <c r="J40" s="2"/>
    </row>
    <row r="41" spans="1:10">
      <c r="A41" s="2"/>
      <c r="B41" s="2"/>
      <c r="C41" s="2"/>
      <c r="D41" s="2"/>
      <c r="E41" s="2"/>
      <c r="F41" s="2"/>
      <c r="G41" s="2"/>
      <c r="H41" s="2"/>
      <c r="I41" s="2"/>
      <c r="J41" s="2"/>
    </row>
    <row r="42" spans="1:10" ht="10.15" customHeight="1">
      <c r="A42" s="2"/>
      <c r="B42" s="67" t="str">
        <f>IF(i_fiets_var1/i_auto_var1&lt;0.5,"Let op: de auto-intensiteit is meer dan twee keer zo hoog als de fietsintensiteit. Overweeg een standaard gemengd profiel met berekende rijbaanbreedte.","")</f>
        <v/>
      </c>
      <c r="C42" s="65"/>
      <c r="D42" s="65"/>
      <c r="E42" s="65"/>
      <c r="F42" s="65"/>
      <c r="G42" s="65"/>
      <c r="H42" s="65"/>
      <c r="I42" s="2"/>
      <c r="J42" s="2"/>
    </row>
    <row r="43" spans="1:10">
      <c r="A43" s="2"/>
      <c r="B43" s="2"/>
      <c r="C43" s="2"/>
      <c r="D43" s="2"/>
      <c r="E43" s="2"/>
      <c r="F43" s="2"/>
      <c r="G43" s="2"/>
      <c r="H43" s="2"/>
      <c r="I43" s="2"/>
      <c r="J43" s="2"/>
    </row>
    <row r="44" spans="1:10" ht="14.5">
      <c r="A44" s="2"/>
      <c r="B44" s="3" t="str">
        <f>IF(S53&lt;&gt;"geen optie",T53,"")</f>
        <v>Fietsstraat met 1 rijloper</v>
      </c>
      <c r="C44" s="2"/>
      <c r="D44" s="2"/>
      <c r="E44" s="2"/>
      <c r="F44" s="2"/>
      <c r="G44" s="2"/>
      <c r="H44" s="2"/>
      <c r="I44" s="2"/>
      <c r="J44" s="2"/>
    </row>
    <row r="45" spans="1:10" ht="14.5">
      <c r="A45" s="2"/>
      <c r="B45" s="3"/>
      <c r="C45" s="2"/>
      <c r="D45" s="2"/>
      <c r="E45" s="2"/>
      <c r="F45" s="2"/>
      <c r="G45" s="2"/>
      <c r="H45" s="2"/>
      <c r="I45" s="2"/>
      <c r="J45" s="2"/>
    </row>
    <row r="46" spans="1:10">
      <c r="A46" s="2"/>
      <c r="B46" s="2"/>
      <c r="C46" s="2"/>
      <c r="D46" s="2"/>
      <c r="E46" s="2"/>
      <c r="F46" s="2"/>
      <c r="G46" s="2"/>
      <c r="H46" s="2"/>
      <c r="I46" s="2"/>
      <c r="J46" s="2"/>
    </row>
    <row r="47" spans="1:10">
      <c r="A47" s="2"/>
      <c r="B47" s="2"/>
      <c r="C47" s="2"/>
      <c r="D47" s="2"/>
      <c r="E47" s="2"/>
      <c r="F47" s="2"/>
      <c r="G47" s="2"/>
      <c r="H47" s="2"/>
      <c r="I47" s="2"/>
      <c r="J47" s="2"/>
    </row>
    <row r="48" spans="1:10">
      <c r="A48" s="2"/>
      <c r="B48" s="2"/>
      <c r="C48" s="2"/>
      <c r="D48" s="2"/>
      <c r="E48" s="2"/>
      <c r="F48" s="2"/>
      <c r="G48" s="2"/>
      <c r="H48" s="2"/>
      <c r="I48" s="2"/>
      <c r="J48" s="2"/>
    </row>
    <row r="49" spans="1:21">
      <c r="A49" s="2"/>
      <c r="B49" s="2"/>
      <c r="C49" s="2"/>
      <c r="D49" s="2"/>
      <c r="E49" s="2"/>
      <c r="F49" s="2"/>
      <c r="G49" s="2"/>
      <c r="H49" s="2"/>
      <c r="I49" s="2"/>
      <c r="J49" s="2"/>
    </row>
    <row r="50" spans="1:21">
      <c r="A50" s="2"/>
      <c r="B50" s="2"/>
      <c r="C50" s="2"/>
      <c r="D50" s="2"/>
      <c r="E50" s="2"/>
      <c r="F50" s="2"/>
      <c r="G50" s="2"/>
      <c r="H50" s="2"/>
      <c r="I50" s="2"/>
      <c r="J50" s="2"/>
    </row>
    <row r="51" spans="1:21">
      <c r="A51" s="2"/>
      <c r="B51" s="2"/>
      <c r="C51" s="2"/>
      <c r="D51" s="2"/>
      <c r="E51" s="2"/>
      <c r="F51" s="2"/>
      <c r="G51" s="2"/>
      <c r="H51" s="2"/>
      <c r="I51" s="2"/>
      <c r="J51" s="2"/>
    </row>
    <row r="52" spans="1:21">
      <c r="A52" s="2"/>
      <c r="B52" s="2"/>
      <c r="C52" s="2"/>
      <c r="D52" s="2"/>
      <c r="E52" s="2"/>
      <c r="F52" s="2"/>
      <c r="G52" s="2"/>
      <c r="H52" s="2"/>
      <c r="I52" s="2"/>
      <c r="J52" s="2"/>
    </row>
    <row r="53" spans="1:21">
      <c r="A53" s="2"/>
      <c r="B53" s="2"/>
      <c r="C53" s="2"/>
      <c r="D53" s="2"/>
      <c r="E53" s="2"/>
      <c r="F53" s="2"/>
      <c r="G53" s="2"/>
      <c r="H53" s="2"/>
      <c r="I53" s="2"/>
      <c r="J53" s="2"/>
      <c r="L53" s="1">
        <v>1</v>
      </c>
      <c r="M53" s="2" t="s">
        <v>37</v>
      </c>
      <c r="N53" s="2" t="s">
        <v>38</v>
      </c>
      <c r="O53" s="2" t="b">
        <f>VLOOKUP($D$36,hulptabellen!$T$2:$Z$8,3,TRUE)</f>
        <v>1</v>
      </c>
      <c r="P53" s="1">
        <f>IF(O53,L53,6)</f>
        <v>1</v>
      </c>
      <c r="R53" s="1">
        <f>SMALL($P$53:$P$57,1)</f>
        <v>1</v>
      </c>
      <c r="S53" s="1" t="str">
        <f>INDEX($M$53:$M$58,R53)</f>
        <v>optie 1</v>
      </c>
      <c r="T53" s="1" t="str">
        <f>INDEX($N$53:$N$58,R53)</f>
        <v>Fietsstraat met 1 rijloper</v>
      </c>
      <c r="U53" s="1" t="str">
        <f>S53&amp;": "&amp;T53</f>
        <v>optie 1: Fietsstraat met 1 rijloper</v>
      </c>
    </row>
    <row r="54" spans="1:21">
      <c r="A54" s="2"/>
      <c r="B54" s="2"/>
      <c r="C54" s="2"/>
      <c r="D54" s="2"/>
      <c r="E54" s="2"/>
      <c r="F54" s="2"/>
      <c r="G54" s="2"/>
      <c r="H54" s="2"/>
      <c r="I54" s="2"/>
      <c r="J54" s="2"/>
      <c r="L54" s="1">
        <v>2</v>
      </c>
      <c r="M54" s="2" t="s">
        <v>39</v>
      </c>
      <c r="N54" s="2" t="s">
        <v>40</v>
      </c>
      <c r="O54" s="2" t="b">
        <f>VLOOKUP($D$36,hulptabellen!$T$2:$Z$8,4,TRUE)</f>
        <v>0</v>
      </c>
      <c r="P54" s="1">
        <f t="shared" ref="P54:P57" si="0">IF(O54,L54,6)</f>
        <v>6</v>
      </c>
      <c r="R54" s="1">
        <f>SMALL($P$53:$P$57,2)</f>
        <v>6</v>
      </c>
      <c r="S54" s="1" t="str">
        <f t="shared" ref="S54:S57" si="1">INDEX($M$53:$M$58,R54)</f>
        <v>geen optie</v>
      </c>
      <c r="T54" s="1">
        <f t="shared" ref="T54:T57" si="2">INDEX($N$53:$N$58,R54)</f>
        <v>0</v>
      </c>
      <c r="U54" s="1" t="str">
        <f t="shared" ref="U54:U56" si="3">S54&amp;": "&amp;T54</f>
        <v>geen optie: 0</v>
      </c>
    </row>
    <row r="55" spans="1:21">
      <c r="A55" s="2"/>
      <c r="B55" s="2"/>
      <c r="C55" s="2"/>
      <c r="D55" s="2"/>
      <c r="E55" s="2"/>
      <c r="F55" s="2"/>
      <c r="G55" s="2"/>
      <c r="H55" s="2"/>
      <c r="I55" s="2"/>
      <c r="J55" s="2"/>
      <c r="L55" s="1">
        <v>3</v>
      </c>
      <c r="M55" s="2" t="s">
        <v>41</v>
      </c>
      <c r="N55" s="2" t="s">
        <v>42</v>
      </c>
      <c r="O55" s="2" t="b">
        <f>VLOOKUP($D$36,hulptabellen!$T$2:$Z$8,5,TRUE)</f>
        <v>0</v>
      </c>
      <c r="P55" s="1">
        <f t="shared" si="0"/>
        <v>6</v>
      </c>
      <c r="R55" s="1">
        <f>SMALL($P$53:$P$57,3)</f>
        <v>6</v>
      </c>
      <c r="S55" s="1" t="str">
        <f t="shared" si="1"/>
        <v>geen optie</v>
      </c>
      <c r="T55" s="1">
        <f t="shared" si="2"/>
        <v>0</v>
      </c>
      <c r="U55" s="1" t="str">
        <f t="shared" si="3"/>
        <v>geen optie: 0</v>
      </c>
    </row>
    <row r="56" spans="1:21">
      <c r="A56" s="2"/>
      <c r="B56" s="2"/>
      <c r="C56" s="2"/>
      <c r="D56" s="2"/>
      <c r="E56" s="2"/>
      <c r="F56" s="2"/>
      <c r="G56" s="2"/>
      <c r="H56" s="2"/>
      <c r="I56" s="2"/>
      <c r="J56" s="2"/>
      <c r="L56" s="1">
        <v>4</v>
      </c>
      <c r="M56" s="2" t="s">
        <v>43</v>
      </c>
      <c r="N56" s="2" t="s">
        <v>44</v>
      </c>
      <c r="O56" s="2" t="b">
        <f>VLOOKUP($D$36,hulptabellen!$T$2:$Z$8,6,TRUE)</f>
        <v>0</v>
      </c>
      <c r="P56" s="1">
        <f t="shared" si="0"/>
        <v>6</v>
      </c>
      <c r="R56" s="1">
        <f>SMALL($P$53:$P$57,4)</f>
        <v>6</v>
      </c>
      <c r="S56" s="1" t="str">
        <f t="shared" si="1"/>
        <v>geen optie</v>
      </c>
      <c r="T56" s="1">
        <f t="shared" si="2"/>
        <v>0</v>
      </c>
      <c r="U56" s="1" t="str">
        <f t="shared" si="3"/>
        <v>geen optie: 0</v>
      </c>
    </row>
    <row r="57" spans="1:21">
      <c r="A57" s="2"/>
      <c r="B57" s="2"/>
      <c r="C57" s="2"/>
      <c r="D57" s="2"/>
      <c r="E57" s="2"/>
      <c r="F57" s="2"/>
      <c r="G57" s="2"/>
      <c r="H57" s="2"/>
      <c r="I57" s="2"/>
      <c r="J57" s="2"/>
      <c r="L57" s="1">
        <v>5</v>
      </c>
      <c r="M57" s="2" t="s">
        <v>45</v>
      </c>
      <c r="N57" s="2" t="s">
        <v>46</v>
      </c>
      <c r="O57" s="2" t="b">
        <f>VLOOKUP($D$36,hulptabellen!$T$2:$Z$8,7,TRUE)</f>
        <v>0</v>
      </c>
      <c r="P57" s="1">
        <f t="shared" si="0"/>
        <v>6</v>
      </c>
      <c r="R57" s="1">
        <f>SMALL($P$53:$P$57,5)</f>
        <v>6</v>
      </c>
      <c r="S57" s="1" t="str">
        <f t="shared" si="1"/>
        <v>geen optie</v>
      </c>
      <c r="T57" s="1">
        <f t="shared" si="2"/>
        <v>0</v>
      </c>
    </row>
    <row r="58" spans="1:21">
      <c r="A58" s="2"/>
      <c r="B58" s="2"/>
      <c r="C58" s="2"/>
      <c r="D58" s="2"/>
      <c r="E58" s="2"/>
      <c r="F58" s="2"/>
      <c r="G58" s="2"/>
      <c r="H58" s="2"/>
      <c r="I58" s="2"/>
      <c r="J58" s="2"/>
      <c r="L58" s="1">
        <v>6</v>
      </c>
      <c r="M58" s="1" t="s">
        <v>47</v>
      </c>
    </row>
    <row r="59" spans="1:21">
      <c r="A59" s="2"/>
      <c r="B59" s="2"/>
      <c r="C59" s="2"/>
      <c r="D59" s="2"/>
      <c r="E59" s="2"/>
      <c r="F59" s="2"/>
      <c r="G59" s="2"/>
      <c r="H59" s="2"/>
      <c r="I59" s="2"/>
      <c r="J59" s="2"/>
    </row>
    <row r="60" spans="1:21">
      <c r="A60" s="2"/>
      <c r="B60" s="2"/>
      <c r="C60" s="2"/>
      <c r="D60" s="2"/>
      <c r="E60" s="2"/>
      <c r="F60" s="2"/>
      <c r="G60" s="2"/>
      <c r="H60" s="2"/>
      <c r="I60" s="2"/>
      <c r="J60" s="2"/>
    </row>
    <row r="61" spans="1:21">
      <c r="A61" s="2"/>
      <c r="B61" s="2"/>
      <c r="C61" s="2"/>
      <c r="D61" s="2"/>
      <c r="E61" s="2"/>
      <c r="F61" s="2"/>
      <c r="G61" s="2"/>
      <c r="H61" s="2"/>
      <c r="I61" s="2"/>
      <c r="J61" s="2"/>
    </row>
    <row r="62" spans="1:21">
      <c r="A62" s="2"/>
      <c r="B62" s="2"/>
      <c r="C62" s="2"/>
      <c r="D62" s="2"/>
      <c r="E62" s="2"/>
      <c r="F62" s="2"/>
      <c r="G62" s="2"/>
      <c r="H62" s="2"/>
      <c r="I62" s="2"/>
      <c r="J62" s="2"/>
    </row>
    <row r="63" spans="1:21">
      <c r="A63" s="2"/>
      <c r="B63" s="2"/>
      <c r="C63" s="2"/>
      <c r="D63" s="2"/>
      <c r="E63" s="2"/>
      <c r="F63" s="2"/>
      <c r="G63" s="2"/>
      <c r="H63" s="2"/>
      <c r="I63" s="2"/>
      <c r="J63" s="2"/>
    </row>
    <row r="64" spans="1:21">
      <c r="A64" s="2"/>
      <c r="B64" s="2"/>
      <c r="C64" s="2"/>
      <c r="D64" s="2"/>
      <c r="E64" s="2"/>
      <c r="F64" s="2"/>
      <c r="G64" s="2"/>
      <c r="H64" s="2"/>
      <c r="I64" s="2"/>
      <c r="J64" s="2"/>
    </row>
    <row r="65" spans="1:10">
      <c r="A65" s="2"/>
      <c r="B65" s="2"/>
      <c r="C65" s="2"/>
      <c r="D65" s="2"/>
      <c r="E65" s="2"/>
      <c r="F65" s="2"/>
      <c r="G65" s="2"/>
      <c r="H65" s="2"/>
      <c r="I65" s="2"/>
      <c r="J65" s="2"/>
    </row>
    <row r="66" spans="1:10">
      <c r="A66" s="2"/>
      <c r="B66" s="2"/>
      <c r="C66" s="2"/>
      <c r="D66" s="2"/>
      <c r="E66" s="2"/>
      <c r="F66" s="2"/>
      <c r="G66" s="2"/>
      <c r="H66" s="2"/>
      <c r="I66" s="2"/>
      <c r="J66" s="2"/>
    </row>
    <row r="67" spans="1:10">
      <c r="A67" s="2"/>
      <c r="B67" s="2"/>
      <c r="C67" s="2"/>
      <c r="D67" s="2"/>
      <c r="E67" s="2"/>
      <c r="F67" s="2"/>
      <c r="G67" s="2"/>
      <c r="H67" s="2"/>
      <c r="I67" s="2"/>
      <c r="J67" s="2"/>
    </row>
    <row r="68" spans="1:10">
      <c r="A68" s="2"/>
      <c r="B68" s="2"/>
      <c r="C68" s="2"/>
      <c r="D68" s="2"/>
      <c r="E68" s="2"/>
      <c r="F68" s="2"/>
      <c r="G68" s="2"/>
      <c r="H68" s="2"/>
      <c r="I68" s="2"/>
      <c r="J68" s="2"/>
    </row>
    <row r="69" spans="1:10">
      <c r="A69" s="2"/>
      <c r="B69" s="2"/>
      <c r="C69" s="2"/>
      <c r="D69" s="2"/>
      <c r="E69" s="2"/>
      <c r="F69" s="2"/>
      <c r="G69" s="2"/>
      <c r="H69" s="2"/>
      <c r="I69" s="2"/>
      <c r="J69" s="2"/>
    </row>
    <row r="70" spans="1:10">
      <c r="A70" s="2"/>
      <c r="B70" s="2"/>
      <c r="C70" s="2"/>
      <c r="D70" s="2"/>
      <c r="E70" s="2"/>
      <c r="F70" s="2"/>
      <c r="G70" s="2"/>
      <c r="H70" s="2"/>
      <c r="I70" s="2"/>
      <c r="J70" s="2"/>
    </row>
    <row r="71" spans="1:10">
      <c r="A71" s="2"/>
      <c r="B71" s="2"/>
      <c r="C71" s="2"/>
      <c r="D71" s="2"/>
      <c r="E71" s="2"/>
      <c r="F71" s="2"/>
      <c r="G71" s="2"/>
      <c r="H71" s="2"/>
      <c r="I71" s="2"/>
      <c r="J71" s="2"/>
    </row>
    <row r="72" spans="1:10" ht="14.5">
      <c r="A72" s="2"/>
      <c r="B72" s="3" t="str">
        <f>IF(S54&lt;&gt;"geen optie",T54,"")</f>
        <v/>
      </c>
      <c r="C72" s="2"/>
      <c r="D72" s="2"/>
      <c r="E72" s="2"/>
      <c r="F72" s="2"/>
      <c r="G72" s="2"/>
      <c r="H72" s="2"/>
      <c r="I72" s="2"/>
      <c r="J72" s="2"/>
    </row>
    <row r="73" spans="1:10">
      <c r="A73" s="2"/>
      <c r="B73" s="2"/>
      <c r="C73" s="2"/>
      <c r="D73" s="2"/>
      <c r="E73" s="2"/>
      <c r="F73" s="2"/>
      <c r="G73" s="2"/>
      <c r="H73" s="2"/>
      <c r="I73" s="2"/>
      <c r="J73" s="2"/>
    </row>
    <row r="74" spans="1:10">
      <c r="A74" s="2"/>
      <c r="B74" s="2"/>
      <c r="C74" s="2"/>
      <c r="D74" s="2"/>
      <c r="E74" s="2"/>
      <c r="F74" s="2"/>
      <c r="G74" s="2"/>
      <c r="H74" s="2"/>
      <c r="I74" s="2"/>
      <c r="J74" s="2"/>
    </row>
    <row r="75" spans="1:10">
      <c r="A75" s="2"/>
      <c r="B75" s="2"/>
      <c r="C75" s="2"/>
      <c r="D75" s="2"/>
      <c r="E75" s="2"/>
      <c r="F75" s="2"/>
      <c r="G75" s="2"/>
      <c r="H75" s="2"/>
      <c r="I75" s="2"/>
      <c r="J75" s="2"/>
    </row>
    <row r="76" spans="1:10">
      <c r="A76" s="2"/>
      <c r="B76" s="2"/>
      <c r="C76" s="2"/>
      <c r="D76" s="2"/>
      <c r="E76" s="2"/>
      <c r="F76" s="2"/>
      <c r="G76" s="2"/>
      <c r="H76" s="2"/>
      <c r="I76" s="2"/>
      <c r="J76" s="2"/>
    </row>
    <row r="77" spans="1:10">
      <c r="A77" s="2"/>
      <c r="B77" s="2"/>
      <c r="C77" s="2"/>
      <c r="D77" s="2"/>
      <c r="E77" s="2"/>
      <c r="F77" s="2"/>
      <c r="G77" s="2"/>
      <c r="H77" s="2"/>
      <c r="I77" s="2"/>
      <c r="J77" s="2"/>
    </row>
    <row r="78" spans="1:10">
      <c r="A78" s="2"/>
      <c r="B78" s="2"/>
      <c r="C78" s="2"/>
      <c r="D78" s="2"/>
      <c r="E78" s="2"/>
      <c r="F78" s="2"/>
      <c r="G78" s="2"/>
      <c r="H78" s="2"/>
      <c r="I78" s="2"/>
      <c r="J78" s="2"/>
    </row>
    <row r="79" spans="1:10">
      <c r="A79" s="2"/>
      <c r="B79" s="2"/>
      <c r="C79" s="2"/>
      <c r="D79" s="2"/>
      <c r="E79" s="2"/>
      <c r="F79" s="2"/>
      <c r="G79" s="2"/>
      <c r="H79" s="2"/>
      <c r="I79" s="2"/>
      <c r="J79" s="2"/>
    </row>
    <row r="80" spans="1:10">
      <c r="A80" s="2"/>
      <c r="B80" s="2"/>
      <c r="C80" s="2"/>
      <c r="D80" s="2"/>
      <c r="E80" s="2"/>
      <c r="F80" s="2"/>
      <c r="G80" s="2"/>
      <c r="H80" s="2"/>
      <c r="I80" s="2"/>
      <c r="J80" s="2"/>
    </row>
    <row r="81" spans="1:10">
      <c r="A81" s="2"/>
      <c r="B81" s="2"/>
      <c r="C81" s="2"/>
      <c r="D81" s="2"/>
      <c r="E81" s="2"/>
      <c r="F81" s="2"/>
      <c r="G81" s="2"/>
      <c r="H81" s="2"/>
      <c r="I81" s="2"/>
      <c r="J81" s="2"/>
    </row>
    <row r="82" spans="1:10">
      <c r="A82" s="2"/>
      <c r="B82" s="2"/>
      <c r="C82" s="2"/>
      <c r="D82" s="2"/>
      <c r="E82" s="2"/>
      <c r="F82" s="2"/>
      <c r="G82" s="2"/>
      <c r="H82" s="2"/>
      <c r="I82" s="2"/>
      <c r="J82" s="2"/>
    </row>
    <row r="83" spans="1:10">
      <c r="A83" s="2"/>
      <c r="B83" s="2"/>
      <c r="C83" s="2"/>
      <c r="D83" s="2"/>
      <c r="E83" s="2"/>
      <c r="F83" s="2"/>
      <c r="G83" s="2"/>
      <c r="H83" s="2"/>
      <c r="I83" s="2"/>
      <c r="J83" s="2"/>
    </row>
    <row r="84" spans="1:10">
      <c r="A84" s="2"/>
      <c r="B84" s="2"/>
      <c r="C84" s="2"/>
      <c r="D84" s="2"/>
      <c r="E84" s="2"/>
      <c r="F84" s="2"/>
      <c r="G84" s="2"/>
      <c r="H84" s="2"/>
      <c r="I84" s="2"/>
      <c r="J84" s="2"/>
    </row>
    <row r="85" spans="1:10">
      <c r="A85" s="2"/>
      <c r="B85" s="2"/>
      <c r="C85" s="2"/>
      <c r="D85" s="2"/>
      <c r="E85" s="2"/>
      <c r="F85" s="2"/>
      <c r="G85" s="2"/>
      <c r="H85" s="2"/>
      <c r="I85" s="2"/>
      <c r="J85" s="2"/>
    </row>
    <row r="86" spans="1:10">
      <c r="A86" s="2"/>
      <c r="B86" s="2"/>
      <c r="C86" s="2"/>
      <c r="D86" s="2"/>
      <c r="E86" s="2"/>
      <c r="F86" s="2"/>
      <c r="G86" s="2"/>
      <c r="H86" s="2"/>
      <c r="I86" s="2"/>
      <c r="J86" s="2"/>
    </row>
    <row r="87" spans="1:10">
      <c r="A87" s="2"/>
      <c r="B87" s="2"/>
      <c r="C87" s="2"/>
      <c r="D87" s="2"/>
      <c r="E87" s="2"/>
      <c r="F87" s="2"/>
      <c r="G87" s="2"/>
      <c r="H87" s="2"/>
      <c r="I87" s="2"/>
      <c r="J87" s="2"/>
    </row>
    <row r="88" spans="1:10">
      <c r="A88" s="2"/>
      <c r="B88" s="2"/>
      <c r="C88" s="2"/>
      <c r="D88" s="2"/>
      <c r="E88" s="2"/>
      <c r="F88" s="2"/>
      <c r="G88" s="2"/>
      <c r="H88" s="2"/>
      <c r="I88" s="2"/>
      <c r="J88" s="2"/>
    </row>
    <row r="89" spans="1:10">
      <c r="A89" s="2"/>
      <c r="B89" s="2"/>
      <c r="C89" s="2"/>
      <c r="D89" s="2"/>
      <c r="E89" s="2"/>
      <c r="F89" s="2"/>
      <c r="G89" s="2"/>
      <c r="H89" s="2"/>
      <c r="I89" s="2"/>
      <c r="J89" s="2"/>
    </row>
    <row r="90" spans="1:10">
      <c r="A90" s="2"/>
      <c r="B90" s="68"/>
      <c r="C90" s="69"/>
      <c r="D90" s="69"/>
      <c r="E90" s="69"/>
      <c r="F90" s="69"/>
      <c r="G90" s="69"/>
      <c r="H90" s="69"/>
      <c r="I90" s="2"/>
      <c r="J90" s="2"/>
    </row>
    <row r="91" spans="1:10">
      <c r="A91" s="2"/>
      <c r="B91" s="2"/>
      <c r="C91" s="2"/>
      <c r="D91" s="2"/>
      <c r="E91" s="2"/>
      <c r="F91" s="2"/>
      <c r="G91" s="2"/>
      <c r="H91" s="2"/>
      <c r="I91" s="2"/>
      <c r="J91" s="2"/>
    </row>
    <row r="92" spans="1:10">
      <c r="A92" s="2"/>
      <c r="B92" s="2"/>
      <c r="C92" s="2"/>
      <c r="D92" s="2"/>
      <c r="E92" s="2"/>
      <c r="F92" s="2"/>
      <c r="G92" s="2"/>
      <c r="H92" s="2"/>
      <c r="I92" s="2"/>
      <c r="J92" s="2"/>
    </row>
    <row r="93" spans="1:10">
      <c r="A93" s="2"/>
      <c r="B93" s="2"/>
      <c r="C93" s="2"/>
      <c r="D93" s="2"/>
      <c r="E93" s="2"/>
      <c r="F93" s="2"/>
      <c r="G93" s="2"/>
      <c r="H93" s="2"/>
      <c r="I93" s="2"/>
      <c r="J93" s="2"/>
    </row>
    <row r="94" spans="1:10">
      <c r="A94" s="2"/>
      <c r="B94" s="2"/>
      <c r="C94" s="2"/>
      <c r="D94" s="2"/>
      <c r="E94" s="2"/>
      <c r="F94" s="2"/>
      <c r="G94" s="2"/>
      <c r="H94" s="2"/>
      <c r="I94" s="2"/>
      <c r="J94" s="2"/>
    </row>
    <row r="95" spans="1:10">
      <c r="A95" s="2"/>
      <c r="B95" s="2"/>
      <c r="C95" s="2"/>
      <c r="D95" s="2"/>
      <c r="E95" s="2"/>
      <c r="F95" s="2"/>
      <c r="G95" s="2"/>
      <c r="H95" s="2"/>
      <c r="I95" s="2"/>
      <c r="J95" s="2"/>
    </row>
    <row r="96" spans="1:10">
      <c r="A96" s="2"/>
      <c r="B96" s="2"/>
      <c r="C96" s="2"/>
      <c r="D96" s="2"/>
      <c r="E96" s="2"/>
      <c r="F96" s="2"/>
      <c r="G96" s="2"/>
      <c r="H96" s="2"/>
      <c r="I96" s="2"/>
      <c r="J96" s="2"/>
    </row>
    <row r="97" spans="1:10">
      <c r="A97" s="2"/>
      <c r="B97" s="2"/>
      <c r="C97" s="2"/>
      <c r="D97" s="2"/>
      <c r="E97" s="2"/>
      <c r="F97" s="2"/>
      <c r="G97" s="2"/>
      <c r="H97" s="2"/>
      <c r="I97" s="2"/>
      <c r="J97" s="2"/>
    </row>
    <row r="98" spans="1:10" hidden="1">
      <c r="A98" s="2"/>
      <c r="B98" s="2"/>
      <c r="C98" s="2"/>
      <c r="D98" s="2"/>
      <c r="E98" s="2"/>
      <c r="F98" s="2"/>
      <c r="G98" s="2"/>
      <c r="H98" s="2"/>
      <c r="I98" s="2"/>
      <c r="J98" s="2"/>
    </row>
    <row r="99" spans="1:10" hidden="1">
      <c r="A99" s="2"/>
      <c r="B99" s="2"/>
      <c r="C99" s="2"/>
      <c r="D99" s="2"/>
      <c r="E99" s="2"/>
      <c r="F99" s="2"/>
      <c r="G99" s="2"/>
      <c r="H99" s="2"/>
      <c r="I99" s="2"/>
      <c r="J99" s="2"/>
    </row>
    <row r="100" spans="1:10" hidden="1">
      <c r="A100" s="2"/>
      <c r="B100" s="2"/>
      <c r="C100" s="2"/>
      <c r="D100" s="2"/>
      <c r="E100" s="2"/>
      <c r="F100" s="2"/>
      <c r="G100" s="2"/>
      <c r="H100" s="2"/>
      <c r="I100" s="2"/>
      <c r="J100" s="2"/>
    </row>
    <row r="101" spans="1:10" hidden="1">
      <c r="A101" s="2"/>
      <c r="B101" s="2"/>
      <c r="C101" s="2"/>
      <c r="D101" s="2"/>
      <c r="E101" s="2"/>
      <c r="F101" s="2"/>
      <c r="G101" s="2"/>
      <c r="H101" s="2"/>
      <c r="I101" s="2"/>
      <c r="J101" s="2"/>
    </row>
    <row r="102" spans="1:10" hidden="1">
      <c r="A102" s="2"/>
      <c r="B102" s="2"/>
      <c r="C102" s="2"/>
      <c r="D102" s="2"/>
      <c r="E102" s="2"/>
      <c r="F102" s="2"/>
      <c r="G102" s="2"/>
      <c r="H102" s="2"/>
      <c r="I102" s="2"/>
      <c r="J102" s="2"/>
    </row>
    <row r="103" spans="1:10" hidden="1">
      <c r="A103" s="2"/>
      <c r="B103" s="2"/>
      <c r="C103" s="2"/>
      <c r="D103" s="2"/>
      <c r="E103" s="2"/>
      <c r="F103" s="2"/>
      <c r="G103" s="2"/>
      <c r="H103" s="2"/>
      <c r="I103" s="2"/>
      <c r="J103" s="2"/>
    </row>
    <row r="104" spans="1:10" hidden="1">
      <c r="A104" s="2"/>
    </row>
    <row r="105" spans="1:10" hidden="1">
      <c r="A105" s="2"/>
    </row>
    <row r="106" spans="1:10" hidden="1">
      <c r="A106" s="2"/>
    </row>
    <row r="107" spans="1:10" hidden="1">
      <c r="A107" s="2"/>
    </row>
    <row r="108" spans="1:10" hidden="1">
      <c r="A108" s="2"/>
    </row>
    <row r="109" spans="1:10" hidden="1">
      <c r="A109" s="2"/>
    </row>
    <row r="110" spans="1:10" hidden="1">
      <c r="A110" s="2"/>
    </row>
    <row r="111" spans="1:10" hidden="1">
      <c r="A111" s="2"/>
    </row>
    <row r="112" spans="1:10" hidden="1">
      <c r="A112" s="2"/>
    </row>
    <row r="113" spans="1:1" hidden="1">
      <c r="A113" s="2"/>
    </row>
    <row r="114" spans="1:1" hidden="1">
      <c r="A114" s="2"/>
    </row>
    <row r="115" spans="1:1" hidden="1">
      <c r="A115" s="2"/>
    </row>
    <row r="116" spans="1:1" hidden="1">
      <c r="A116" s="2"/>
    </row>
    <row r="117" spans="1:1" hidden="1">
      <c r="A117" s="2"/>
    </row>
    <row r="118" spans="1:1" hidden="1">
      <c r="A118" s="2"/>
    </row>
  </sheetData>
  <sheetProtection algorithmName="SHA-512" hashValue="0BGHTdf4UmnzUQmsH+iXl7ZA6RGGusWQU/4TnncJNXRoudeOSQobt98usjoL2U3jO0AqIKlK1JmVPyb0immd+A==" saltValue="CSA5/MfjC0vBYC3xWZNuZQ==" spinCount="100000" sheet="1" objects="1" scenarios="1"/>
  <mergeCells count="8">
    <mergeCell ref="B2:H2"/>
    <mergeCell ref="B37:H37"/>
    <mergeCell ref="B42:H42"/>
    <mergeCell ref="B90:H90"/>
    <mergeCell ref="B10:D10"/>
    <mergeCell ref="B7:H7"/>
    <mergeCell ref="B30:H30"/>
    <mergeCell ref="B32:C32"/>
  </mergeCells>
  <dataValidations count="3">
    <dataValidation type="whole" errorStyle="warning" allowBlank="1" showInputMessage="1" showErrorMessage="1" error="De snelheid van fietsers moet tussen 15 en 25 km/uur zijn" sqref="C19 F19" xr:uid="{FF8DB011-19EF-4697-AD8B-BAC7A667AC6E}">
      <formula1>15</formula1>
      <formula2>25</formula2>
    </dataValidation>
    <dataValidation type="whole" errorStyle="warning" allowBlank="1" showInputMessage="1" showErrorMessage="1" error="Het model is geldig voor auto-intensiteiten tot 400 voertuigen per uur." sqref="D16 G16" xr:uid="{B98032AD-AF68-4ADB-8FF4-C32BDFC06BA7}">
      <formula1>0</formula1>
      <formula2>400</formula2>
    </dataValidation>
    <dataValidation type="whole" errorStyle="warning" allowBlank="1" showInputMessage="1" showErrorMessage="1" error="De snelheid van fietsers moet tussen 30 en 50 km/uur zijn" sqref="D19 G19" xr:uid="{AE849635-D7D9-4B2E-A40C-89BE532488EB}">
      <formula1>30</formula1>
      <formula2>50</formula2>
    </dataValidation>
  </dataValidations>
  <pageMargins left="0.7" right="0.7" top="0.75" bottom="0.75" header="0.3" footer="0.3"/>
  <pageSetup paperSize="9" orientation="portrait" verticalDpi="0"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2E48FB0-9991-4F4D-B376-49C4FCF9CECB}">
          <x14:formula1>
            <xm:f>hulptabellen!$A$2:$A$7</xm:f>
          </x14:formula1>
          <xm:sqref>B10:D10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82D59-490E-4DEB-9AE7-6FE465ECB562}">
  <sheetPr codeName="Blad3"/>
  <dimension ref="A1:I91"/>
  <sheetViews>
    <sheetView workbookViewId="0">
      <selection activeCell="G20" sqref="G20"/>
    </sheetView>
  </sheetViews>
  <sheetFormatPr defaultColWidth="0" defaultRowHeight="12.5" zeroHeight="1"/>
  <cols>
    <col min="1" max="1" width="9.1796875" customWidth="1"/>
    <col min="2" max="2" width="40.453125" customWidth="1"/>
    <col min="3" max="4" width="14.26953125" customWidth="1"/>
    <col min="5" max="5" width="9.1796875" customWidth="1"/>
    <col min="6" max="7" width="14.26953125" customWidth="1"/>
    <col min="8" max="8" width="9.1796875" customWidth="1"/>
    <col min="9" max="16384" width="9.1796875" hidden="1"/>
  </cols>
  <sheetData>
    <row r="1" spans="1:9" ht="30" customHeight="1">
      <c r="A1" s="48" t="s">
        <v>8</v>
      </c>
      <c r="B1" s="35"/>
      <c r="C1" s="35"/>
      <c r="D1" s="35"/>
      <c r="E1" s="35"/>
      <c r="F1" s="35"/>
      <c r="G1" s="35"/>
      <c r="H1" s="5"/>
      <c r="I1" s="5"/>
    </row>
    <row r="2" spans="1:9" ht="14.25" customHeight="1">
      <c r="A2" s="5"/>
      <c r="B2" s="60" t="s">
        <v>48</v>
      </c>
      <c r="C2" s="66"/>
      <c r="D2" s="66"/>
      <c r="E2" s="66"/>
      <c r="F2" s="66"/>
      <c r="G2" s="66"/>
      <c r="H2" s="5"/>
      <c r="I2" s="5"/>
    </row>
    <row r="3" spans="1:9" ht="14.25" customHeight="1">
      <c r="A3" s="5"/>
      <c r="B3" s="66"/>
      <c r="C3" s="66"/>
      <c r="D3" s="66"/>
      <c r="E3" s="66"/>
      <c r="F3" s="66"/>
      <c r="G3" s="66"/>
      <c r="H3" s="5"/>
      <c r="I3" s="5"/>
    </row>
    <row r="4" spans="1:9">
      <c r="A4" s="5"/>
      <c r="B4" s="5"/>
      <c r="C4" s="5"/>
      <c r="D4" s="5"/>
      <c r="E4" s="5"/>
      <c r="F4" s="5"/>
      <c r="G4" s="5"/>
      <c r="H4" s="5"/>
      <c r="I4" s="5"/>
    </row>
    <row r="5" spans="1:9" ht="13">
      <c r="A5" s="2"/>
      <c r="B5" s="2"/>
      <c r="C5" s="2"/>
      <c r="D5" s="2"/>
      <c r="E5" s="2"/>
      <c r="F5" s="2"/>
      <c r="G5" s="2"/>
      <c r="H5" s="2"/>
      <c r="I5" s="5"/>
    </row>
    <row r="6" spans="1:9" ht="19.5">
      <c r="A6" s="35" t="s">
        <v>49</v>
      </c>
      <c r="B6" s="38"/>
      <c r="C6" s="38"/>
      <c r="D6" s="38"/>
      <c r="E6" s="38"/>
      <c r="F6" s="38"/>
      <c r="G6" s="38"/>
      <c r="H6" s="5"/>
      <c r="I6" s="5"/>
    </row>
    <row r="7" spans="1:9" ht="14.25" customHeight="1">
      <c r="A7" s="35"/>
      <c r="B7" s="44" t="s">
        <v>50</v>
      </c>
      <c r="C7" s="38"/>
      <c r="D7" s="38"/>
      <c r="E7" s="38"/>
      <c r="F7" s="38"/>
      <c r="G7" s="38"/>
      <c r="H7" s="5"/>
      <c r="I7" s="5"/>
    </row>
    <row r="8" spans="1:9">
      <c r="A8" s="5"/>
      <c r="B8" s="5"/>
      <c r="C8" s="5"/>
      <c r="D8" s="5"/>
      <c r="E8" s="5"/>
      <c r="F8" s="5"/>
      <c r="G8" s="5"/>
      <c r="H8" s="5"/>
      <c r="I8" s="5"/>
    </row>
    <row r="9" spans="1:9" ht="17.5" thickBot="1">
      <c r="A9" s="5"/>
      <c r="B9" s="5"/>
      <c r="C9" s="37" t="s">
        <v>18</v>
      </c>
      <c r="D9" s="37"/>
      <c r="E9" s="5"/>
      <c r="F9" s="37" t="s">
        <v>19</v>
      </c>
      <c r="G9" s="37"/>
      <c r="H9" s="5"/>
      <c r="I9" s="5"/>
    </row>
    <row r="10" spans="1:9" ht="15" thickTop="1">
      <c r="A10" s="5"/>
      <c r="B10" s="5"/>
      <c r="C10" s="55" t="s">
        <v>20</v>
      </c>
      <c r="D10" s="55" t="s">
        <v>21</v>
      </c>
      <c r="E10" s="5"/>
      <c r="F10" s="55" t="s">
        <v>20</v>
      </c>
      <c r="G10" s="55" t="s">
        <v>21</v>
      </c>
      <c r="H10" s="5"/>
      <c r="I10" s="5"/>
    </row>
    <row r="11" spans="1:9" ht="14.5">
      <c r="A11" s="5"/>
      <c r="B11" s="3" t="s">
        <v>22</v>
      </c>
      <c r="C11" s="59">
        <f>i_fiets_var1</f>
        <v>100</v>
      </c>
      <c r="D11" s="59">
        <f>i_auto_var1</f>
        <v>100</v>
      </c>
      <c r="E11" s="5"/>
      <c r="F11" s="33">
        <f>i_fiets_var2</f>
        <v>200</v>
      </c>
      <c r="G11" s="33">
        <f>i_auto_var2</f>
        <v>100</v>
      </c>
      <c r="H11" s="5"/>
      <c r="I11" s="5"/>
    </row>
    <row r="12" spans="1:9" ht="14.5">
      <c r="A12" s="5"/>
      <c r="B12" s="3" t="s">
        <v>51</v>
      </c>
      <c r="C12" s="32">
        <f>fiets_ri1_var1</f>
        <v>0.55000000000000004</v>
      </c>
      <c r="D12" s="32">
        <f>auto_ri1_var1</f>
        <v>0.55000000000000004</v>
      </c>
      <c r="E12" s="5"/>
      <c r="F12" s="32">
        <f>fiets_ri1_var2</f>
        <v>0.55000000000000004</v>
      </c>
      <c r="G12" s="32">
        <f>auto_ri1_var2</f>
        <v>0.55000000000000004</v>
      </c>
      <c r="H12" s="5"/>
      <c r="I12" s="5"/>
    </row>
    <row r="13" spans="1:9" ht="14.5">
      <c r="A13" s="5"/>
      <c r="B13" s="3" t="s">
        <v>24</v>
      </c>
      <c r="C13" s="32">
        <f>fiets_ri2_var1</f>
        <v>0.44999999999999996</v>
      </c>
      <c r="D13" s="32">
        <f>auto_ri2_var1</f>
        <v>0.44999999999999996</v>
      </c>
      <c r="E13" s="5"/>
      <c r="F13" s="32">
        <f>fiets_ri2_var2</f>
        <v>0.44999999999999996</v>
      </c>
      <c r="G13" s="32">
        <f>auto_ri2_var2</f>
        <v>0.44999999999999996</v>
      </c>
      <c r="H13" s="5"/>
      <c r="I13" s="5"/>
    </row>
    <row r="14" spans="1:9" ht="14.5">
      <c r="A14" s="5"/>
      <c r="B14" s="3" t="s">
        <v>52</v>
      </c>
      <c r="C14" s="33">
        <f>v_fiets_var1</f>
        <v>18</v>
      </c>
      <c r="D14" s="33">
        <f>v_auto_var1</f>
        <v>35</v>
      </c>
      <c r="E14" s="5"/>
      <c r="F14" s="33">
        <f>v_fiets_var2</f>
        <v>18</v>
      </c>
      <c r="G14" s="33">
        <f>v_auto_var2</f>
        <v>35</v>
      </c>
      <c r="H14" s="5"/>
      <c r="I14" s="5"/>
    </row>
    <row r="15" spans="1:9">
      <c r="A15" s="5"/>
      <c r="B15" s="5"/>
      <c r="C15" s="5"/>
      <c r="D15" s="5"/>
      <c r="E15" s="5"/>
      <c r="F15" s="5"/>
      <c r="G15" s="5"/>
      <c r="H15" s="5"/>
      <c r="I15" s="5"/>
    </row>
    <row r="16" spans="1:9" ht="14.5">
      <c r="A16" s="5"/>
      <c r="B16" s="3" t="s">
        <v>26</v>
      </c>
      <c r="C16" s="32">
        <f>duofietsers_var1</f>
        <v>0.1</v>
      </c>
      <c r="D16" s="5"/>
      <c r="E16" s="5"/>
      <c r="F16" s="32">
        <f>duofietsers_var2</f>
        <v>0.1</v>
      </c>
      <c r="G16" s="5"/>
      <c r="H16" s="5"/>
      <c r="I16" s="5"/>
    </row>
    <row r="17" spans="1:9" ht="14.5">
      <c r="A17" s="5"/>
      <c r="B17" s="3" t="s">
        <v>27</v>
      </c>
      <c r="C17" s="32">
        <f>vrachtverkeer_var1</f>
        <v>0.02</v>
      </c>
      <c r="D17" s="5"/>
      <c r="E17" s="5"/>
      <c r="F17" s="32">
        <f>vrachtverkeer_var2</f>
        <v>0.02</v>
      </c>
      <c r="G17" s="5"/>
      <c r="H17" s="5"/>
      <c r="I17" s="5"/>
    </row>
    <row r="18" spans="1:9">
      <c r="A18" s="5"/>
      <c r="B18" s="5"/>
      <c r="C18" s="5"/>
      <c r="D18" s="5"/>
      <c r="E18" s="5"/>
      <c r="F18" s="5"/>
      <c r="G18" s="5"/>
      <c r="H18" s="5"/>
      <c r="I18" s="5"/>
    </row>
    <row r="19" spans="1:9" ht="14.5">
      <c r="A19" s="5"/>
      <c r="B19" s="3" t="s">
        <v>53</v>
      </c>
      <c r="C19" s="45">
        <f>rabatstrook_var1</f>
        <v>0</v>
      </c>
      <c r="D19" s="5" t="str">
        <f>" (Was: "&amp;rabatstrook_var1&amp;" cm)"</f>
        <v xml:space="preserve"> (Was: 0 cm)</v>
      </c>
      <c r="E19" s="5"/>
      <c r="F19" s="45">
        <v>0</v>
      </c>
      <c r="G19" s="5" t="str">
        <f>" (Was: "&amp;rabatstrook_var2&amp;" cm)"</f>
        <v xml:space="preserve"> (Was: 30 cm)</v>
      </c>
      <c r="H19" s="5"/>
      <c r="I19" s="5"/>
    </row>
    <row r="20" spans="1:9">
      <c r="A20" s="5"/>
      <c r="B20" s="5"/>
      <c r="C20" s="5"/>
      <c r="D20" s="5"/>
      <c r="E20" s="5"/>
      <c r="F20" s="5"/>
      <c r="G20" s="5"/>
      <c r="H20" s="5"/>
      <c r="I20" s="5"/>
    </row>
    <row r="21" spans="1:9" ht="14.5">
      <c r="A21" s="5"/>
      <c r="B21" s="3" t="s">
        <v>54</v>
      </c>
      <c r="C21" s="46">
        <v>540</v>
      </c>
      <c r="D21" s="5" t="str">
        <f>"(Gewenst "&amp;'Gewenste rijbaanbreedte'!C26&amp;" cm)"</f>
        <v>(Gewenst 390 cm)</v>
      </c>
      <c r="E21" s="5"/>
      <c r="F21" s="46">
        <v>540</v>
      </c>
      <c r="G21" s="5" t="str">
        <f>"(Gewenst "&amp;'Gewenste rijbaanbreedte'!F26&amp;"cm)"</f>
        <v>(Gewenst 420cm)</v>
      </c>
      <c r="H21" s="5"/>
      <c r="I21" s="5"/>
    </row>
    <row r="22" spans="1:9" ht="19.5" customHeight="1">
      <c r="A22" s="5"/>
      <c r="B22" s="5"/>
      <c r="C22" s="5"/>
      <c r="D22" s="5"/>
      <c r="E22" s="5"/>
      <c r="F22" s="5"/>
      <c r="G22" s="5"/>
      <c r="H22" s="5"/>
      <c r="I22" s="5"/>
    </row>
    <row r="23" spans="1:9">
      <c r="A23" s="5"/>
      <c r="B23" s="5"/>
      <c r="C23" s="5"/>
      <c r="D23" s="5"/>
      <c r="E23" s="5"/>
      <c r="F23" s="5"/>
      <c r="G23" s="5"/>
      <c r="H23" s="5"/>
      <c r="I23" s="5"/>
    </row>
    <row r="24" spans="1:9">
      <c r="A24" s="5"/>
      <c r="B24" s="5"/>
      <c r="C24" s="5"/>
      <c r="D24" s="5"/>
      <c r="E24" s="5"/>
      <c r="F24" s="5"/>
      <c r="G24" s="5"/>
      <c r="H24" s="5"/>
      <c r="I24" s="5"/>
    </row>
    <row r="25" spans="1:9">
      <c r="A25" s="5"/>
      <c r="B25" s="5"/>
      <c r="C25" s="5"/>
      <c r="D25" s="5"/>
      <c r="E25" s="5"/>
      <c r="F25" s="5"/>
      <c r="G25" s="5"/>
      <c r="H25" s="5"/>
      <c r="I25" s="5"/>
    </row>
    <row r="26" spans="1:9">
      <c r="A26" s="5"/>
      <c r="B26" s="5"/>
      <c r="C26" s="5"/>
      <c r="D26" s="5"/>
      <c r="E26" s="5"/>
      <c r="F26" s="5"/>
      <c r="G26" s="5"/>
      <c r="H26" s="5"/>
      <c r="I26" s="5"/>
    </row>
    <row r="27" spans="1:9">
      <c r="A27" s="5"/>
      <c r="B27" s="5"/>
      <c r="C27" s="5"/>
      <c r="D27" s="5"/>
      <c r="E27" s="5"/>
      <c r="F27" s="5"/>
      <c r="G27" s="5"/>
      <c r="H27" s="5"/>
      <c r="I27" s="5"/>
    </row>
    <row r="28" spans="1:9">
      <c r="A28" s="5"/>
      <c r="B28" s="5"/>
      <c r="C28" s="5"/>
      <c r="D28" s="5"/>
      <c r="E28" s="5"/>
      <c r="F28" s="5"/>
      <c r="G28" s="5"/>
      <c r="H28" s="5"/>
      <c r="I28" s="5"/>
    </row>
    <row r="29" spans="1:9">
      <c r="A29" s="5"/>
      <c r="B29" s="5"/>
      <c r="C29" s="5"/>
      <c r="D29" s="5"/>
      <c r="E29" s="5"/>
      <c r="F29" s="5"/>
      <c r="G29" s="5"/>
      <c r="H29" s="5"/>
      <c r="I29" s="5"/>
    </row>
    <row r="30" spans="1:9">
      <c r="A30" s="5"/>
      <c r="B30" s="5"/>
      <c r="C30" s="5"/>
      <c r="D30" s="5"/>
      <c r="E30" s="5"/>
      <c r="F30" s="5"/>
      <c r="G30" s="5"/>
      <c r="H30" s="5"/>
      <c r="I30" s="5"/>
    </row>
    <row r="31" spans="1:9">
      <c r="A31" s="5"/>
      <c r="B31" s="5"/>
      <c r="C31" s="5"/>
      <c r="D31" s="5"/>
      <c r="E31" s="5"/>
      <c r="F31" s="5"/>
      <c r="G31" s="5"/>
      <c r="H31" s="5"/>
      <c r="I31" s="5"/>
    </row>
    <row r="32" spans="1:9">
      <c r="A32" s="5"/>
      <c r="B32" s="5"/>
      <c r="C32" s="5"/>
      <c r="D32" s="5"/>
      <c r="E32" s="5"/>
      <c r="F32" s="5"/>
      <c r="G32" s="5"/>
      <c r="H32" s="5"/>
      <c r="I32" s="5"/>
    </row>
    <row r="33" spans="1:9">
      <c r="A33" s="5"/>
      <c r="B33" s="5"/>
      <c r="C33" s="5"/>
      <c r="D33" s="5"/>
      <c r="E33" s="5"/>
      <c r="F33" s="5"/>
      <c r="G33" s="5"/>
      <c r="H33" s="5"/>
      <c r="I33" s="5"/>
    </row>
    <row r="34" spans="1:9">
      <c r="A34" s="5"/>
      <c r="B34" s="5"/>
      <c r="C34" s="5"/>
      <c r="D34" s="5"/>
      <c r="E34" s="5"/>
      <c r="F34" s="5"/>
      <c r="G34" s="5"/>
      <c r="H34" s="5"/>
      <c r="I34" s="5"/>
    </row>
    <row r="35" spans="1:9">
      <c r="A35" s="5"/>
      <c r="B35" s="5"/>
      <c r="C35" s="5"/>
      <c r="D35" s="5"/>
      <c r="E35" s="5"/>
      <c r="F35" s="5"/>
      <c r="G35" s="5"/>
      <c r="H35" s="5"/>
      <c r="I35" s="5"/>
    </row>
    <row r="36" spans="1:9">
      <c r="A36" s="5"/>
      <c r="B36" s="5"/>
      <c r="C36" s="5"/>
      <c r="D36" s="5"/>
      <c r="E36" s="5"/>
      <c r="F36" s="5"/>
      <c r="G36" s="5"/>
      <c r="H36" s="5"/>
      <c r="I36" s="5"/>
    </row>
    <row r="37" spans="1:9">
      <c r="A37" s="5"/>
      <c r="B37" s="5"/>
      <c r="C37" s="5"/>
      <c r="D37" s="5"/>
      <c r="E37" s="5"/>
      <c r="F37" s="5"/>
      <c r="G37" s="5"/>
      <c r="H37" s="5"/>
      <c r="I37" s="5"/>
    </row>
    <row r="38" spans="1:9">
      <c r="A38" s="5"/>
      <c r="B38" s="5"/>
      <c r="C38" s="5"/>
      <c r="D38" s="5"/>
      <c r="E38" s="5"/>
      <c r="F38" s="5"/>
      <c r="G38" s="5"/>
      <c r="H38" s="5"/>
      <c r="I38" s="5"/>
    </row>
    <row r="39" spans="1:9">
      <c r="A39" s="5"/>
      <c r="B39" s="5"/>
      <c r="C39" s="5"/>
      <c r="D39" s="5"/>
      <c r="E39" s="5"/>
      <c r="F39" s="5"/>
      <c r="G39" s="5"/>
      <c r="H39" s="5"/>
      <c r="I39" s="5"/>
    </row>
    <row r="40" spans="1:9">
      <c r="A40" s="5"/>
      <c r="B40" s="5"/>
      <c r="C40" s="5"/>
      <c r="D40" s="5"/>
      <c r="E40" s="5"/>
      <c r="F40" s="5"/>
      <c r="G40" s="5"/>
      <c r="H40" s="5"/>
      <c r="I40" s="5"/>
    </row>
    <row r="41" spans="1:9">
      <c r="A41" s="5"/>
      <c r="B41" s="5"/>
      <c r="C41" s="5"/>
      <c r="D41" s="5"/>
      <c r="E41" s="5"/>
      <c r="F41" s="5"/>
      <c r="G41" s="5"/>
      <c r="H41" s="5"/>
      <c r="I41" s="5"/>
    </row>
    <row r="42" spans="1:9">
      <c r="A42" s="5"/>
      <c r="B42" s="5"/>
      <c r="C42" s="5"/>
      <c r="D42" s="5"/>
      <c r="E42" s="5"/>
      <c r="F42" s="5"/>
      <c r="G42" s="5"/>
      <c r="H42" s="5"/>
      <c r="I42" s="5"/>
    </row>
    <row r="43" spans="1:9">
      <c r="A43" s="5"/>
      <c r="B43" s="5"/>
      <c r="C43" s="5"/>
      <c r="D43" s="5"/>
      <c r="E43" s="5"/>
      <c r="F43" s="5"/>
      <c r="G43" s="5"/>
      <c r="H43" s="5"/>
      <c r="I43" s="5"/>
    </row>
    <row r="44" spans="1:9" ht="45" customHeight="1">
      <c r="A44" s="5"/>
      <c r="B44" s="77" t="s">
        <v>55</v>
      </c>
      <c r="C44" s="77"/>
      <c r="D44" s="77"/>
      <c r="E44" s="77"/>
      <c r="F44" s="77"/>
      <c r="G44" s="77"/>
      <c r="H44" s="5"/>
      <c r="I44" s="5"/>
    </row>
    <row r="45" spans="1:9">
      <c r="A45" s="5"/>
      <c r="B45" s="5"/>
      <c r="C45" s="5"/>
      <c r="D45" s="5"/>
      <c r="E45" s="5"/>
      <c r="F45" s="5"/>
      <c r="G45" s="5"/>
      <c r="H45" s="5"/>
      <c r="I45" s="5"/>
    </row>
    <row r="46" spans="1:9" ht="19.5">
      <c r="A46" s="35" t="s">
        <v>56</v>
      </c>
      <c r="B46" s="38"/>
      <c r="C46" s="38"/>
      <c r="D46" s="38"/>
      <c r="E46" s="38"/>
      <c r="F46" s="38"/>
      <c r="G46" s="38"/>
      <c r="H46" s="5"/>
      <c r="I46" s="5"/>
    </row>
    <row r="47" spans="1:9">
      <c r="A47" s="5"/>
      <c r="B47" s="5"/>
      <c r="C47" s="5"/>
      <c r="D47" s="5"/>
      <c r="E47" s="5"/>
      <c r="F47" s="5"/>
      <c r="G47" s="5"/>
      <c r="H47" s="5"/>
      <c r="I47" s="5"/>
    </row>
    <row r="48" spans="1:9" ht="17.5" thickBot="1">
      <c r="A48" s="5"/>
      <c r="B48" s="5"/>
      <c r="C48" s="58" t="s">
        <v>18</v>
      </c>
      <c r="D48" s="2"/>
      <c r="E48" s="1"/>
      <c r="F48" s="41" t="s">
        <v>19</v>
      </c>
      <c r="G48" s="2"/>
      <c r="H48" s="5"/>
      <c r="I48" s="5"/>
    </row>
    <row r="49" spans="1:9" ht="29.5" thickTop="1">
      <c r="A49" s="5"/>
      <c r="B49" s="24" t="s">
        <v>57</v>
      </c>
      <c r="C49" s="40">
        <f>(SUMIFS('Details variant 1'!$J$6:$J$22,'Details variant 1'!$I$6:$I$22,"geel",'Details variant 1'!$F$6:$F$22,1,'Details variant 1'!$G$6:$G$22,1,'Details variant 1'!$H$6:$H$22,0)+SUMIFS('Details variant 1'!$Y$6:$Y$40,'Details variant 1'!$X$6:$X$40,"geel",'Details variant 1'!$U$6:$U$40,1,'Details variant 1'!$V$6:$V$40,1,'Details variant 1'!$W$6:$W$40,0)+SUMIFS('Details variant 1'!$J$6:$J$22,'Details variant 1'!$I$6:$I$22,"rood",'Details variant 1'!$F$6:$F$22,1,'Details variant 1'!$G$6:$G$22,1,'Details variant 1'!$H$6:$H$22,0)+SUMIFS('Details variant 1'!$Y$6:$Y$40,'Details variant 1'!$X$6:$X$40,"rood",'Details variant 1'!$U$6:$U$40,1,'Details variant 1'!$V$6:$V$40,1,'Details variant 1'!$W$6:$W$40,0))/(periode/3600)/(weglengte/1000)/tab2_i_fiets_var1</f>
        <v>0.3867732772875816</v>
      </c>
      <c r="D49" s="5"/>
      <c r="E49" s="5"/>
      <c r="F49" s="40">
        <f>(SUMIFS('Details variant 2'!$J$6:$J$22,'Details variant 2'!$I$6:$I$22,"geel",'Details variant 2'!$F$6:$F$22,1,'Details variant 2'!$G$6:$G$22,1,'Details variant 2'!$H$6:$H$22,0)+SUMIFS('Details variant 2'!$Y$6:$Y$40,'Details variant 2'!$X$6:$X$40,"geel",'Details variant 2'!$U$6:$U$40,1,'Details variant 2'!$V$6:$V$40,1,'Details variant 2'!$W$6:$W$40,0)+SUMIFS('Details variant 2'!$J$6:$J$22,'Details variant 2'!$I$6:$I$22,"rood",'Details variant 2'!$F$6:$F$22,1,'Details variant 2'!$G$6:$G$22,1,'Details variant 2'!$H$6:$H$22,0)+SUMIFS('Details variant 2'!$Y$6:$Y$40,'Details variant 2'!$X$6:$X$40,"rood",'Details variant 2'!$U$6:$U$40,1,'Details variant 2'!$V$6:$V$40,1,'Details variant 2'!$W$6:$W$40,0))/(periode/3600)/(weglengte/1000)/tab2_i_fiets_var2</f>
        <v>0.56519311013071871</v>
      </c>
      <c r="G49" s="5"/>
      <c r="H49" s="5"/>
      <c r="I49" s="5"/>
    </row>
    <row r="50" spans="1:9" ht="29">
      <c r="A50" s="5"/>
      <c r="B50" s="24" t="s">
        <v>58</v>
      </c>
      <c r="C50" s="34">
        <f>(SUMIFS('Details variant 1'!$J$6:$J$22,'Details variant 1'!$I$6:$I$22,"geel",'Details variant 1'!$F$6:$F$22,1,'Details variant 1'!$H$6:$H$22,1)+SUMIFS('Details variant 1'!$Y$6:$Y$40,'Details variant 1'!$X$6:$X$40,"geel",'Details variant 1'!$U$6:$U$40,1,'Details variant 1'!$W$6:$W$40,1)+SUMIFS('Details variant 1'!$J$6:$J$22,'Details variant 1'!$I$6:$I$22,"rood",'Details variant 1'!$F$6:$F$22,1,'Details variant 1'!$H$6:$H$22,1)+SUMIFS('Details variant 1'!$Y$6:$Y$40,'Details variant 1'!$X$6:$X$40,"rood",'Details variant 1'!$U$6:$U$40,1,'Details variant 1'!$W$6:$W$40,1))/(periode/3600)/(weglengte/1000)/tab2_i_fiets_var1</f>
        <v>2.169016733893557E-2</v>
      </c>
      <c r="D50" s="5"/>
      <c r="E50" s="5"/>
      <c r="F50" s="34">
        <f>(SUMIFS('Details variant 2'!$J$6:$J$22,'Details variant 2'!$I$6:$I$22,"geel",'Details variant 2'!$F$6:$F$22,1,'Details variant 2'!$H$6:$H$22,1)+SUMIFS('Details variant 2'!$Y$6:$Y$40,'Details variant 2'!$X$6:$X$40,"geel",'Details variant 2'!$U$6:$U$40,1,'Details variant 2'!$W$6:$W$40,1)+SUMIFS('Details variant 2'!$J$6:$J$22,'Details variant 2'!$I$6:$I$22,"rood",'Details variant 2'!$F$6:$F$22,1,'Details variant 2'!$H$6:$H$22,1)+SUMIFS('Details variant 2'!$Y$6:$Y$40,'Details variant 2'!$X$6:$X$40,"rood",'Details variant 2'!$U$6:$U$40,1,'Details variant 2'!$W$6:$W$40,1))/(periode/3600)/(weglengte/1000)/tab2_i_fiets_var2</f>
        <v>2.4603144201680666E-2</v>
      </c>
      <c r="G50" s="5"/>
      <c r="H50" s="5"/>
      <c r="I50" s="5"/>
    </row>
    <row r="51" spans="1:9" ht="14.5">
      <c r="A51" s="5"/>
      <c r="B51" s="24" t="s">
        <v>59</v>
      </c>
      <c r="C51" s="34">
        <f>SUM(C49:C50)</f>
        <v>0.40846344462651718</v>
      </c>
      <c r="D51" s="5"/>
      <c r="E51" s="5"/>
      <c r="F51" s="34">
        <f>SUM(F49:F50)</f>
        <v>0.58979625433239935</v>
      </c>
      <c r="G51" s="5"/>
      <c r="H51" s="5"/>
      <c r="I51" s="5"/>
    </row>
    <row r="52" spans="1:9">
      <c r="A52" s="5"/>
      <c r="B52" s="5"/>
      <c r="C52" s="5"/>
      <c r="D52" s="5"/>
      <c r="E52" s="5"/>
      <c r="F52" s="5"/>
      <c r="G52" s="5"/>
      <c r="H52" s="5"/>
      <c r="I52" s="5"/>
    </row>
    <row r="53" spans="1:9" ht="23.5">
      <c r="A53" s="5"/>
      <c r="B53" s="3" t="s">
        <v>60</v>
      </c>
      <c r="C53" s="56">
        <f>'Details variant 1'!AY29</f>
        <v>1.6069211707580973</v>
      </c>
      <c r="D53" s="5"/>
      <c r="E53" s="5"/>
      <c r="F53" s="56">
        <f>'Details variant 2'!AY29</f>
        <v>1.5025641025641017</v>
      </c>
      <c r="G53" s="5"/>
      <c r="H53" s="5"/>
      <c r="I53" s="5"/>
    </row>
    <row r="54" spans="1:9">
      <c r="A54" s="5"/>
      <c r="B54" s="5"/>
      <c r="C54" s="5"/>
      <c r="D54" s="5"/>
      <c r="E54" s="5"/>
      <c r="F54" s="5"/>
      <c r="G54" s="5"/>
      <c r="H54" s="5"/>
      <c r="I54" s="5"/>
    </row>
    <row r="55" spans="1:9" ht="19.5">
      <c r="A55" s="35" t="s">
        <v>61</v>
      </c>
      <c r="B55" s="39"/>
      <c r="C55" s="38"/>
      <c r="D55" s="38"/>
      <c r="E55" s="38"/>
      <c r="F55" s="38"/>
      <c r="G55" s="38"/>
      <c r="H55" s="5"/>
      <c r="I55" s="5"/>
    </row>
    <row r="56" spans="1:9">
      <c r="A56" s="5"/>
      <c r="B56" s="5"/>
      <c r="C56" s="5"/>
      <c r="D56" s="5"/>
      <c r="E56" s="5"/>
      <c r="F56" s="5"/>
      <c r="G56" s="5"/>
      <c r="H56" s="5"/>
      <c r="I56" s="5"/>
    </row>
    <row r="57" spans="1:9" ht="17.5" thickBot="1">
      <c r="A57" s="5"/>
      <c r="B57" s="5"/>
      <c r="C57" s="58" t="s">
        <v>18</v>
      </c>
      <c r="D57" s="2"/>
      <c r="E57" s="1"/>
      <c r="F57" s="58" t="s">
        <v>19</v>
      </c>
      <c r="G57" s="2"/>
      <c r="H57" s="5"/>
      <c r="I57" s="5"/>
    </row>
    <row r="58" spans="1:9" ht="15" thickTop="1">
      <c r="A58" s="5"/>
      <c r="B58" s="3" t="s">
        <v>62</v>
      </c>
      <c r="C58" s="40">
        <f>'Details variant 1'!AY25</f>
        <v>7.2336992565956573</v>
      </c>
      <c r="D58" s="5"/>
      <c r="E58" s="5"/>
      <c r="F58" s="40">
        <f>'Details variant 2'!AY25</f>
        <v>7.1779897304051818</v>
      </c>
      <c r="G58" s="5"/>
      <c r="H58" s="5"/>
      <c r="I58" s="5"/>
    </row>
    <row r="59" spans="1:9" ht="14.5">
      <c r="A59" s="5"/>
      <c r="B59" s="3" t="s">
        <v>63</v>
      </c>
      <c r="C59" s="32">
        <f>'Details variant 1'!AY26</f>
        <v>0.47758086296887847</v>
      </c>
      <c r="D59" s="5"/>
      <c r="E59" s="5"/>
      <c r="F59" s="32">
        <f>'Details variant 2'!AY26</f>
        <v>0.46004294702885518</v>
      </c>
      <c r="G59" s="5"/>
      <c r="H59" s="5"/>
      <c r="I59" s="5"/>
    </row>
    <row r="60" spans="1:9" ht="14.5">
      <c r="A60" s="5"/>
      <c r="B60" s="3" t="s">
        <v>64</v>
      </c>
      <c r="C60" s="32">
        <f>'Details variant 1'!AY27</f>
        <v>7.4329582868900568E-2</v>
      </c>
      <c r="D60" s="5"/>
      <c r="E60" s="5"/>
      <c r="F60" s="32">
        <f>'Details variant 2'!AY27</f>
        <v>8.4136687859471815E-2</v>
      </c>
      <c r="G60" s="5"/>
      <c r="H60" s="5"/>
      <c r="I60" s="5"/>
    </row>
    <row r="61" spans="1:9" ht="14.5">
      <c r="A61" s="5"/>
      <c r="B61" s="3" t="s">
        <v>65</v>
      </c>
      <c r="C61" s="57" t="str">
        <f>VLOOKUP(C58,oordeel,3,TRUE)</f>
        <v>goed</v>
      </c>
      <c r="D61" s="5"/>
      <c r="E61" s="5"/>
      <c r="F61" s="57" t="str">
        <f>VLOOKUP(F58,oordeel,3,TRUE)</f>
        <v>goed</v>
      </c>
      <c r="G61" s="5"/>
      <c r="H61" s="5"/>
      <c r="I61" s="5"/>
    </row>
    <row r="62" spans="1:9" ht="45" customHeight="1">
      <c r="A62" s="5"/>
      <c r="B62" s="77" t="s">
        <v>66</v>
      </c>
      <c r="C62" s="77"/>
      <c r="D62" s="77"/>
      <c r="E62" s="77"/>
      <c r="F62" s="77"/>
      <c r="G62" s="77"/>
      <c r="H62" s="5"/>
      <c r="I62" s="5"/>
    </row>
    <row r="63" spans="1:9">
      <c r="A63" s="5"/>
      <c r="B63" s="5"/>
      <c r="C63" s="5"/>
      <c r="D63" s="5"/>
      <c r="E63" s="5"/>
      <c r="F63" s="5"/>
      <c r="G63" s="5"/>
      <c r="H63" s="5"/>
      <c r="I63" s="5"/>
    </row>
    <row r="64" spans="1:9">
      <c r="A64" s="5"/>
      <c r="B64" s="5"/>
      <c r="C64" s="5"/>
      <c r="D64" s="5"/>
      <c r="E64" s="5"/>
      <c r="F64" s="5"/>
      <c r="G64" s="5"/>
      <c r="H64" s="5"/>
      <c r="I64" s="5"/>
    </row>
    <row r="65" spans="1:9" ht="19.5">
      <c r="A65" s="35" t="s">
        <v>67</v>
      </c>
      <c r="B65" s="35"/>
      <c r="C65" s="35"/>
      <c r="D65" s="35"/>
      <c r="E65" s="35"/>
      <c r="F65" s="35"/>
      <c r="G65" s="35"/>
      <c r="H65" s="5"/>
      <c r="I65" s="5"/>
    </row>
    <row r="66" spans="1:9">
      <c r="A66" s="5"/>
      <c r="B66" s="5"/>
      <c r="C66" s="5"/>
      <c r="D66" s="5"/>
      <c r="E66" s="5"/>
      <c r="F66" s="5"/>
      <c r="G66" s="5"/>
      <c r="H66" s="5"/>
      <c r="I66" s="5"/>
    </row>
    <row r="67" spans="1:9" ht="17.5" thickBot="1">
      <c r="A67" s="5"/>
      <c r="B67" s="5"/>
      <c r="C67" s="41" t="s">
        <v>18</v>
      </c>
      <c r="D67" s="41"/>
      <c r="E67" s="1"/>
      <c r="F67" s="41" t="s">
        <v>19</v>
      </c>
      <c r="G67" s="41"/>
      <c r="H67" s="5"/>
      <c r="I67" s="5"/>
    </row>
    <row r="68" spans="1:9" ht="15" thickTop="1">
      <c r="A68" s="5"/>
      <c r="B68" s="3" t="s">
        <v>68</v>
      </c>
      <c r="C68" s="40">
        <f>'Details variant 1'!AX23*'Details variant 1'!AY23</f>
        <v>-7.9650371702170847E-2</v>
      </c>
      <c r="D68" s="5"/>
      <c r="E68" s="5"/>
      <c r="F68" s="40">
        <f>'Details variant 2'!BC23</f>
        <v>-0.11501026959481787</v>
      </c>
      <c r="G68" s="5"/>
      <c r="H68" s="5"/>
      <c r="I68" s="5"/>
    </row>
    <row r="69" spans="1:9" ht="14.5">
      <c r="A69" s="5"/>
      <c r="B69" s="3" t="s">
        <v>69</v>
      </c>
      <c r="C69" s="34">
        <f>'Details variant 1'!BC22</f>
        <v>-7.9650371702170847E-2</v>
      </c>
      <c r="D69" s="5"/>
      <c r="E69" s="5"/>
      <c r="F69" s="34">
        <f>'Details variant 2'!BC22</f>
        <v>-0.1</v>
      </c>
      <c r="G69" s="5"/>
      <c r="H69" s="5"/>
      <c r="I69" s="5"/>
    </row>
    <row r="70" spans="1:9">
      <c r="A70" s="5"/>
      <c r="B70" s="5"/>
      <c r="C70" s="5"/>
      <c r="D70" s="5"/>
      <c r="E70" s="5"/>
      <c r="F70" s="5"/>
      <c r="G70" s="5"/>
      <c r="H70" s="5"/>
      <c r="I70" s="5"/>
    </row>
    <row r="71" spans="1:9">
      <c r="A71" s="5"/>
      <c r="B71" s="5"/>
      <c r="C71" s="5"/>
      <c r="D71" s="5"/>
      <c r="E71" s="5"/>
      <c r="F71" s="5"/>
      <c r="G71" s="5"/>
      <c r="H71" s="5"/>
      <c r="I71" s="5"/>
    </row>
    <row r="72" spans="1:9">
      <c r="A72" s="5"/>
      <c r="B72" s="5"/>
      <c r="C72" s="5"/>
      <c r="D72" s="5"/>
      <c r="E72" s="5"/>
      <c r="F72" s="5"/>
      <c r="G72" s="5"/>
      <c r="H72" s="5"/>
      <c r="I72" s="5"/>
    </row>
    <row r="73" spans="1:9">
      <c r="A73" s="5"/>
      <c r="B73" s="5"/>
      <c r="C73" s="5"/>
      <c r="D73" s="5"/>
      <c r="E73" s="5"/>
      <c r="F73" s="5"/>
      <c r="G73" s="5"/>
      <c r="H73" s="5"/>
      <c r="I73" s="5"/>
    </row>
    <row r="74" spans="1:9">
      <c r="A74" s="5"/>
      <c r="B74" s="5"/>
      <c r="C74" s="5"/>
      <c r="D74" s="5"/>
      <c r="E74" s="5"/>
      <c r="F74" s="5"/>
      <c r="G74" s="5"/>
      <c r="H74" s="5"/>
      <c r="I74" s="5"/>
    </row>
    <row r="75" spans="1:9">
      <c r="A75" s="5"/>
      <c r="B75" s="5"/>
      <c r="C75" s="5"/>
      <c r="D75" s="5"/>
      <c r="E75" s="5"/>
      <c r="F75" s="5"/>
      <c r="G75" s="5"/>
      <c r="H75" s="5"/>
      <c r="I75" s="5"/>
    </row>
    <row r="76" spans="1:9">
      <c r="A76" s="5"/>
      <c r="B76" s="5"/>
      <c r="C76" s="5"/>
      <c r="D76" s="5"/>
      <c r="E76" s="5"/>
      <c r="F76" s="5"/>
      <c r="G76" s="5"/>
      <c r="H76" s="5"/>
      <c r="I76" s="5"/>
    </row>
    <row r="77" spans="1:9">
      <c r="A77" s="5"/>
      <c r="B77" s="5"/>
      <c r="C77" s="5"/>
      <c r="D77" s="5"/>
      <c r="E77" s="5"/>
      <c r="F77" s="5"/>
      <c r="G77" s="5"/>
      <c r="H77" s="5"/>
      <c r="I77" s="5"/>
    </row>
    <row r="78" spans="1:9">
      <c r="A78" s="5"/>
      <c r="B78" s="5"/>
      <c r="C78" s="5"/>
      <c r="D78" s="5"/>
      <c r="E78" s="5"/>
      <c r="F78" s="5"/>
      <c r="G78" s="5"/>
      <c r="H78" s="5"/>
      <c r="I78" s="5"/>
    </row>
    <row r="79" spans="1:9">
      <c r="A79" s="5"/>
      <c r="B79" s="5"/>
      <c r="C79" s="5"/>
      <c r="D79" s="5"/>
      <c r="E79" s="5"/>
      <c r="F79" s="5"/>
      <c r="G79" s="5"/>
      <c r="H79" s="5"/>
      <c r="I79" s="5"/>
    </row>
    <row r="80" spans="1:9">
      <c r="A80" s="5"/>
      <c r="B80" s="5"/>
      <c r="C80" s="5"/>
      <c r="D80" s="5"/>
      <c r="E80" s="5"/>
      <c r="F80" s="5"/>
      <c r="G80" s="5"/>
      <c r="H80" s="5"/>
      <c r="I80" s="5"/>
    </row>
    <row r="81" spans="1:9">
      <c r="A81" s="5"/>
      <c r="B81" s="5"/>
      <c r="C81" s="5"/>
      <c r="D81" s="5"/>
      <c r="E81" s="5"/>
      <c r="F81" s="5"/>
      <c r="G81" s="5"/>
      <c r="H81" s="5"/>
      <c r="I81" s="5"/>
    </row>
    <row r="82" spans="1:9">
      <c r="A82" s="5"/>
      <c r="B82" s="5"/>
      <c r="C82" s="5"/>
      <c r="D82" s="5"/>
      <c r="E82" s="5"/>
      <c r="F82" s="5"/>
      <c r="G82" s="5"/>
      <c r="H82" s="5"/>
      <c r="I82" s="5"/>
    </row>
    <row r="83" spans="1:9">
      <c r="A83" s="5"/>
      <c r="B83" s="5"/>
      <c r="C83" s="5"/>
      <c r="D83" s="5"/>
      <c r="E83" s="5"/>
      <c r="F83" s="5"/>
      <c r="G83" s="5"/>
      <c r="H83" s="5"/>
      <c r="I83" s="5"/>
    </row>
    <row r="84" spans="1:9">
      <c r="A84" s="5"/>
      <c r="B84" s="5"/>
      <c r="C84" s="5"/>
      <c r="D84" s="5"/>
      <c r="E84" s="5"/>
      <c r="F84" s="5"/>
      <c r="G84" s="5"/>
      <c r="H84" s="5"/>
      <c r="I84" s="5"/>
    </row>
    <row r="85" spans="1:9">
      <c r="A85" s="5"/>
      <c r="B85" s="5"/>
      <c r="C85" s="5"/>
      <c r="D85" s="5"/>
      <c r="E85" s="5"/>
      <c r="F85" s="5"/>
      <c r="G85" s="5"/>
      <c r="H85" s="5"/>
      <c r="I85" s="5"/>
    </row>
    <row r="86" spans="1:9">
      <c r="A86" s="5"/>
      <c r="B86" s="5"/>
      <c r="C86" s="5"/>
      <c r="D86" s="5"/>
      <c r="E86" s="5"/>
      <c r="F86" s="5"/>
      <c r="G86" s="5"/>
      <c r="H86" s="5"/>
      <c r="I86" s="5"/>
    </row>
    <row r="87" spans="1:9">
      <c r="A87" s="5"/>
      <c r="B87" s="5"/>
      <c r="C87" s="5"/>
      <c r="D87" s="5"/>
      <c r="E87" s="5"/>
      <c r="F87" s="5"/>
      <c r="G87" s="5"/>
      <c r="H87" s="5"/>
      <c r="I87" s="5"/>
    </row>
    <row r="88" spans="1:9">
      <c r="A88" s="5"/>
      <c r="B88" s="5"/>
      <c r="C88" s="5"/>
      <c r="D88" s="5"/>
      <c r="E88" s="5"/>
      <c r="F88" s="5"/>
      <c r="G88" s="5"/>
      <c r="H88" s="5"/>
      <c r="I88" s="5"/>
    </row>
    <row r="89" spans="1:9">
      <c r="A89" s="5"/>
      <c r="B89" s="5"/>
      <c r="C89" s="5"/>
      <c r="D89" s="5"/>
      <c r="E89" s="5"/>
      <c r="F89" s="5"/>
      <c r="G89" s="5"/>
      <c r="H89" s="5"/>
      <c r="I89" s="5"/>
    </row>
    <row r="90" spans="1:9">
      <c r="A90" s="5"/>
      <c r="B90" s="5"/>
      <c r="C90" s="5"/>
      <c r="D90" s="5"/>
      <c r="E90" s="5"/>
      <c r="F90" s="5"/>
      <c r="G90" s="5"/>
      <c r="H90" s="5"/>
      <c r="I90" s="5"/>
    </row>
    <row r="91" spans="1:9" hidden="1">
      <c r="A91" s="5"/>
      <c r="B91" s="5"/>
      <c r="C91" s="5"/>
      <c r="D91" s="5"/>
      <c r="E91" s="5"/>
      <c r="F91" s="5"/>
      <c r="G91" s="5"/>
      <c r="H91" s="5"/>
      <c r="I91" s="5"/>
    </row>
  </sheetData>
  <sheetProtection algorithmName="SHA-512" hashValue="WNUZBLPDAdK/Jdbx20OZAScZ14KgcgGDbzZ0ndvzIVhIj2IkI/IrkdGbGfpOWOjWbwX3npXZwG47hfABrpGr5g==" saltValue="KvS/uRN0Of3SyosTBzNJkg==" spinCount="100000" sheet="1" objects="1" scenarios="1"/>
  <mergeCells count="3">
    <mergeCell ref="B62:G62"/>
    <mergeCell ref="B2:G3"/>
    <mergeCell ref="B44:G44"/>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2C30C5-0AEF-4A66-8730-3579D9B789FC}">
  <sheetPr codeName="Blad4"/>
  <dimension ref="A1:BD54"/>
  <sheetViews>
    <sheetView workbookViewId="0"/>
  </sheetViews>
  <sheetFormatPr defaultColWidth="9.1796875" defaultRowHeight="12.5" zeroHeight="1"/>
  <cols>
    <col min="1" max="3" width="9.1796875" customWidth="1"/>
    <col min="4" max="4" width="54.26953125" customWidth="1"/>
    <col min="5" max="5" width="12.1796875" customWidth="1"/>
    <col min="6" max="8" width="12.1796875" hidden="1" customWidth="1"/>
    <col min="9" max="18" width="9.1796875" customWidth="1"/>
    <col min="19" max="19" width="54.26953125" customWidth="1"/>
    <col min="20" max="20" width="12.1796875" customWidth="1"/>
    <col min="21" max="23" width="12.1796875" hidden="1" customWidth="1"/>
    <col min="24" max="31" width="9.1796875" customWidth="1"/>
    <col min="32" max="32" width="54.26953125" customWidth="1"/>
    <col min="33" max="38" width="9.1796875" customWidth="1"/>
    <col min="39" max="39" width="54.26953125" customWidth="1"/>
    <col min="40" max="48" width="9.1796875" customWidth="1"/>
    <col min="49" max="49" width="32.81640625" customWidth="1"/>
    <col min="50" max="54" width="22.81640625" customWidth="1"/>
    <col min="55" max="55" width="9.1796875" customWidth="1"/>
    <col min="56" max="56" width="12.81640625" customWidth="1"/>
  </cols>
  <sheetData>
    <row r="1" spans="1:56" ht="17.5" thickBot="1">
      <c r="A1" s="19" t="s">
        <v>70</v>
      </c>
      <c r="B1" s="19"/>
      <c r="C1" s="19"/>
      <c r="D1" s="19"/>
      <c r="E1" s="19"/>
      <c r="F1" s="19" t="s">
        <v>71</v>
      </c>
      <c r="G1" s="19" t="s">
        <v>72</v>
      </c>
      <c r="H1" s="19" t="s">
        <v>73</v>
      </c>
      <c r="I1" s="19"/>
      <c r="J1" s="19"/>
      <c r="K1" s="19"/>
      <c r="L1" s="19"/>
      <c r="M1" s="19"/>
      <c r="N1" s="19"/>
      <c r="O1" s="19"/>
      <c r="P1" s="19"/>
      <c r="Q1" s="19"/>
      <c r="R1" s="19"/>
      <c r="S1" s="19"/>
      <c r="T1" s="19"/>
      <c r="U1" s="19" t="s">
        <v>71</v>
      </c>
      <c r="V1" s="19" t="s">
        <v>72</v>
      </c>
      <c r="W1" s="19" t="s">
        <v>73</v>
      </c>
      <c r="X1" s="19"/>
      <c r="Y1" s="19"/>
      <c r="Z1" s="19"/>
      <c r="AC1" s="19" t="s">
        <v>74</v>
      </c>
      <c r="AD1" s="19"/>
      <c r="AE1" s="19"/>
      <c r="AF1" s="19"/>
      <c r="AG1" s="19"/>
      <c r="AH1" s="19"/>
      <c r="AI1" s="19"/>
      <c r="AJ1" s="19"/>
      <c r="AK1" s="19"/>
      <c r="AL1" s="19"/>
      <c r="AM1" s="19"/>
      <c r="AN1" s="19"/>
      <c r="AO1" s="19"/>
    </row>
    <row r="2" spans="1:56" ht="15.5" thickTop="1" thickBot="1">
      <c r="AX2" s="10" t="s">
        <v>75</v>
      </c>
      <c r="AY2" s="10" t="s">
        <v>76</v>
      </c>
      <c r="AZ2" s="10" t="s">
        <v>77</v>
      </c>
    </row>
    <row r="3" spans="1:56" ht="14.5">
      <c r="A3" s="11"/>
      <c r="B3" s="12"/>
      <c r="C3" s="12"/>
      <c r="D3" s="12"/>
      <c r="E3" s="12"/>
      <c r="F3" s="12"/>
      <c r="G3" s="12"/>
      <c r="H3" s="12"/>
      <c r="I3" s="12"/>
      <c r="J3" s="12"/>
      <c r="K3" s="13"/>
      <c r="P3" s="11"/>
      <c r="Q3" s="12"/>
      <c r="R3" s="12"/>
      <c r="S3" s="12"/>
      <c r="T3" s="12"/>
      <c r="U3" s="12"/>
      <c r="V3" s="12"/>
      <c r="W3" s="12"/>
      <c r="X3" s="12"/>
      <c r="Y3" s="12"/>
      <c r="Z3" s="13"/>
      <c r="AC3" s="11"/>
      <c r="AD3" s="12"/>
      <c r="AE3" s="12"/>
      <c r="AF3" s="12"/>
      <c r="AG3" s="12"/>
      <c r="AH3" s="13"/>
      <c r="AJ3" s="11"/>
      <c r="AK3" s="12"/>
      <c r="AL3" s="12"/>
      <c r="AM3" s="12"/>
      <c r="AN3" s="12"/>
      <c r="AO3" s="13"/>
      <c r="AW3" s="8" t="s">
        <v>20</v>
      </c>
      <c r="AX3" s="21">
        <f>tab2_i_fiets_var1/3600*tab2_fiets_ri1_var1</f>
        <v>1.5277777777777779E-2</v>
      </c>
      <c r="AY3" s="21">
        <f>tab2_i_fiets_var1/3600*tab2_fiets_ri2_var1</f>
        <v>1.2499999999999997E-2</v>
      </c>
      <c r="AZ3" s="21">
        <f>weglengte/(tab2_v_fiets_var1/3.6)</f>
        <v>200</v>
      </c>
      <c r="BB3" s="8" t="s">
        <v>78</v>
      </c>
      <c r="BC3">
        <f>(lengte_auto+lengte_fiets)/((tab2_v_fauto_var1-tab2_v_fiets_var1)/3.6)+vooruitkijken</f>
        <v>11.694117647058823</v>
      </c>
      <c r="BD3" s="8" t="s">
        <v>79</v>
      </c>
    </row>
    <row r="4" spans="1:56" ht="15" thickBot="1">
      <c r="A4" s="14"/>
      <c r="D4" s="10" t="s">
        <v>80</v>
      </c>
      <c r="E4" s="10"/>
      <c r="F4" s="10"/>
      <c r="G4" s="10"/>
      <c r="H4" s="10"/>
      <c r="I4" s="10"/>
      <c r="J4" s="10">
        <f>MAX(0,$AX$3*$AX$4*($AZ$3-$AZ$4)*periode+$AY$3*$AY$4*($AZ$3-$AZ$4)*periode-$Y$4-$Y$17-$Y$30)</f>
        <v>96.369291433239965</v>
      </c>
      <c r="K4" s="15"/>
      <c r="P4" s="14"/>
      <c r="S4" s="10" t="s">
        <v>80</v>
      </c>
      <c r="T4" s="10"/>
      <c r="U4" s="10"/>
      <c r="V4" s="10"/>
      <c r="W4" s="10"/>
      <c r="X4" s="10"/>
      <c r="Y4" s="10">
        <f>MAX(0,$AX$3*$AX$4*($AZ$3-$AZ$4)*$AY$3*$BC$3*periode+$AY$3*$AY$4*($AZ$3-$AZ$4)*$AX$3*$BC$3*periode-$Y$30)</f>
        <v>18.206105392156857</v>
      </c>
      <c r="Z4" s="15"/>
      <c r="AC4" s="14"/>
      <c r="AF4" s="10" t="s">
        <v>80</v>
      </c>
      <c r="AG4" s="10">
        <f>$AX$4*($AZ$3-$AZ$4)-$AN$4-$AN$17-$AN$30</f>
        <v>1.0819502684407099</v>
      </c>
      <c r="AH4" s="15"/>
      <c r="AJ4" s="14"/>
      <c r="AM4" s="10" t="s">
        <v>80</v>
      </c>
      <c r="AN4" s="10">
        <f>$AX$4*($AZ$3-$AZ$4)*$AY$3*$BC$3-$AN$30</f>
        <v>0.18523227124183003</v>
      </c>
      <c r="AO4" s="15"/>
      <c r="AW4" s="8" t="s">
        <v>21</v>
      </c>
      <c r="AX4" s="21">
        <f>tab2_i_auto_var_1/3600*tab2_auto_ri1_var1</f>
        <v>1.5277777777777779E-2</v>
      </c>
      <c r="AY4" s="21">
        <f>tab2_i_auto_var_1/3600*tab2_auto_ri2_var1</f>
        <v>1.2499999999999997E-2</v>
      </c>
      <c r="AZ4" s="21">
        <f>weglengte/(tab2_v_fauto_var1/3.6)</f>
        <v>102.85714285714286</v>
      </c>
      <c r="BB4" s="8" t="s">
        <v>81</v>
      </c>
      <c r="BC4">
        <f>BC3*tab2_v_fiets_var1/3.6</f>
        <v>58.470588235294109</v>
      </c>
      <c r="BD4" s="8" t="s">
        <v>82</v>
      </c>
    </row>
    <row r="5" spans="1:56" ht="14.5">
      <c r="A5" s="14"/>
      <c r="K5" s="15"/>
      <c r="P5" s="14"/>
      <c r="Z5" s="15"/>
      <c r="AC5" s="14"/>
      <c r="AH5" s="15"/>
      <c r="AJ5" s="14"/>
      <c r="AO5" s="15"/>
      <c r="BB5" s="8" t="s">
        <v>83</v>
      </c>
      <c r="BC5">
        <f>BC4/(tab2_v_fauto_var1/3.6)</f>
        <v>6.0141176470588231</v>
      </c>
      <c r="BD5" s="8" t="s">
        <v>84</v>
      </c>
    </row>
    <row r="6" spans="1:56" ht="14.5">
      <c r="A6" s="14"/>
      <c r="D6" s="8" t="s">
        <v>85</v>
      </c>
      <c r="E6" s="8" t="s">
        <v>86</v>
      </c>
      <c r="F6" s="8">
        <v>1</v>
      </c>
      <c r="G6" s="8">
        <v>1</v>
      </c>
      <c r="H6" s="8">
        <v>0</v>
      </c>
      <c r="I6" t="str">
        <f>IF(wegbreedte_variant_1-2*rabatstrook_var1/2&lt;VLOOKUP(E6,kritische_breedtes[],2,FALSE),"rood",IF(wegbreedte_variant_1-2*rabatstrook_var1/2&lt;VLOOKUP(E6,kritische_breedtes[],3,FALSE),"geel","groen"))</f>
        <v>groen</v>
      </c>
      <c r="J6">
        <f>$J$4*(1-tab2_duofietsers_var1)*(1-tab2_vrachtverkeer_var1)</f>
        <v>84.997715044117655</v>
      </c>
      <c r="K6" s="15"/>
      <c r="P6" s="14"/>
      <c r="S6" s="8" t="s">
        <v>87</v>
      </c>
      <c r="T6" s="8" t="s">
        <v>88</v>
      </c>
      <c r="U6" s="8">
        <v>1</v>
      </c>
      <c r="V6" s="8">
        <v>1</v>
      </c>
      <c r="W6" s="8">
        <v>0</v>
      </c>
      <c r="X6" s="8" t="str">
        <f>IF(wegbreedte_variant_1-2*rabatstrook_var1/2&lt;VLOOKUP(T6,kritische_breedtes[],2,FALSE),"rood",IF(wegbreedte_variant_1-2*rabatstrook_var1/2&lt;VLOOKUP(T6,kritische_breedtes[],3,FALSE),"geel","groen"))</f>
        <v>geel</v>
      </c>
      <c r="Y6">
        <f>$Y$4*(1-tab2_duofietsers_var1)*(1-tab2_vrachtverkeer_var1)*(1-tab2_duofietsers_var1)</f>
        <v>14.452006460294113</v>
      </c>
      <c r="Z6" s="15"/>
      <c r="AC6" s="14"/>
      <c r="AF6" s="8" t="s">
        <v>21</v>
      </c>
      <c r="AG6">
        <f>$AG$4*(1-tab2_vrachtverkeer_var1)</f>
        <v>1.0603112630718956</v>
      </c>
      <c r="AH6" s="15"/>
      <c r="AJ6" s="14"/>
      <c r="AM6" s="8" t="s">
        <v>89</v>
      </c>
      <c r="AN6">
        <f>$AN$4*(1-tab2_vrachtverkeer_var1)*(1-tab2_duofietsers_var1)</f>
        <v>0.16337486323529407</v>
      </c>
      <c r="AO6" s="15"/>
      <c r="AW6" s="8" t="s">
        <v>90</v>
      </c>
      <c r="AX6">
        <f>(1-tab2_duofietsers_var1)*AX3</f>
        <v>1.3750000000000002E-2</v>
      </c>
      <c r="AY6">
        <f>(1-tab2_duofietsers_var1)*AY3</f>
        <v>1.1249999999999998E-2</v>
      </c>
    </row>
    <row r="7" spans="1:56" ht="14.5">
      <c r="A7" s="14"/>
      <c r="D7" s="8" t="s">
        <v>91</v>
      </c>
      <c r="E7" s="8" t="s">
        <v>92</v>
      </c>
      <c r="F7" s="8">
        <v>1</v>
      </c>
      <c r="G7" s="8">
        <v>1</v>
      </c>
      <c r="H7" s="8">
        <v>0</v>
      </c>
      <c r="I7" t="str">
        <f>IF(wegbreedte_variant_1-2*rabatstrook_var1/2&lt;VLOOKUP(E7,kritische_breedtes[],2,FALSE),"rood",IF(wegbreedte_variant_1-2*rabatstrook_var1/2&lt;VLOOKUP(E7,kritische_breedtes[],3,FALSE),"geel","groen"))</f>
        <v>groen</v>
      </c>
      <c r="J7">
        <f>$J$4*tab2_duofietsers_var1*(1-tab2_vrachtverkeer_var1)</f>
        <v>9.4441905604575158</v>
      </c>
      <c r="K7" s="15"/>
      <c r="P7" s="14"/>
      <c r="S7" s="8" t="s">
        <v>93</v>
      </c>
      <c r="T7" s="8" t="s">
        <v>94</v>
      </c>
      <c r="U7" s="8">
        <v>1</v>
      </c>
      <c r="V7" s="8">
        <v>1</v>
      </c>
      <c r="W7" s="8">
        <v>0</v>
      </c>
      <c r="X7" s="8" t="str">
        <f>IF(wegbreedte_variant_1-2*rabatstrook_var1/2&lt;VLOOKUP(T7,kritische_breedtes[],2,FALSE),"rood",IF(wegbreedte_variant_1-2*rabatstrook_var1/2&lt;VLOOKUP(T7,kritische_breedtes[],3,FALSE),"geel","groen"))</f>
        <v>rood</v>
      </c>
      <c r="Y7">
        <f>$Y$4*tab2_duofietsers_var1*(1-tab2_vrachtverkeer_var1)*(1-tab2_duofietsers_var1)+$Y$4*(1-tab2_duofietsers_var1)*(1-tab2_vrachtverkeer_var1)*tab2_duofietsers_var1</f>
        <v>3.2115569911764696</v>
      </c>
      <c r="Z7" s="15"/>
      <c r="AC7" s="14"/>
      <c r="AF7" s="8" t="s">
        <v>95</v>
      </c>
      <c r="AG7">
        <f>$AG$4*tab2_vrachtverkeer_var1</f>
        <v>2.1639005368814197E-2</v>
      </c>
      <c r="AH7" s="15"/>
      <c r="AJ7" s="14"/>
      <c r="AM7" s="8" t="s">
        <v>96</v>
      </c>
      <c r="AN7">
        <f>$AN$4*tab2_vrachtverkeer_var1*(1-tab2_duofietsers_var1)</f>
        <v>3.3341808823529407E-3</v>
      </c>
      <c r="AO7" s="15"/>
      <c r="AW7" s="8" t="s">
        <v>97</v>
      </c>
      <c r="AX7">
        <f>tab2_duofietsers_var1*AX3</f>
        <v>1.5277777777777781E-3</v>
      </c>
      <c r="AY7">
        <f>tab2_duofietsers_var1*AY3</f>
        <v>1.2499999999999998E-3</v>
      </c>
    </row>
    <row r="8" spans="1:56" ht="14.5">
      <c r="A8" s="14"/>
      <c r="D8" s="8" t="s">
        <v>98</v>
      </c>
      <c r="E8" s="8" t="s">
        <v>99</v>
      </c>
      <c r="F8" s="8">
        <v>1</v>
      </c>
      <c r="G8" s="8">
        <v>0</v>
      </c>
      <c r="H8" s="8">
        <v>1</v>
      </c>
      <c r="I8" t="str">
        <f>IF(wegbreedte_variant_1-2*rabatstrook_var1/2&lt;VLOOKUP(E8,kritische_breedtes[],2,FALSE),"rood",IF(wegbreedte_variant_1-2*rabatstrook_var1/2&lt;VLOOKUP(E8,kritische_breedtes[],3,FALSE),"geel","groen"))</f>
        <v>groen</v>
      </c>
      <c r="J8">
        <f>$J$4*(1-tab2_duofietsers_var1)*tab2_vrachtverkeer_var1</f>
        <v>1.7346472457983193</v>
      </c>
      <c r="K8" s="15"/>
      <c r="P8" s="14"/>
      <c r="S8" s="8" t="s">
        <v>100</v>
      </c>
      <c r="T8" s="8" t="s">
        <v>101</v>
      </c>
      <c r="U8" s="8">
        <v>1</v>
      </c>
      <c r="V8" s="8">
        <v>0</v>
      </c>
      <c r="W8" s="8">
        <v>1</v>
      </c>
      <c r="X8" s="8" t="str">
        <f>IF(wegbreedte_variant_1-2*rabatstrook_var1/2&lt;VLOOKUP(T8,kritische_breedtes[],2,FALSE),"rood",IF(wegbreedte_variant_1-2*rabatstrook_var1/2&lt;VLOOKUP(T8,kritische_breedtes[],3,FALSE),"geel","groen"))</f>
        <v>rood</v>
      </c>
      <c r="Y8">
        <f>$Y$4*(1-tab2_duofietsers_var1)*tab2_vrachtverkeer_var1*(1-tab2_duofietsers_var1)</f>
        <v>0.29493890735294109</v>
      </c>
      <c r="Z8" s="15"/>
      <c r="AC8" s="14"/>
      <c r="AH8" s="15"/>
      <c r="AJ8" s="14"/>
      <c r="AM8" s="8" t="s">
        <v>102</v>
      </c>
      <c r="AN8">
        <f>$AN$4*(1-tab2_vrachtverkeer_var1)*tab2_duofietsers_var1</f>
        <v>1.8152762581699341E-2</v>
      </c>
      <c r="AO8" s="15"/>
      <c r="AW8" s="8" t="s">
        <v>103</v>
      </c>
      <c r="AX8">
        <f>(1-tab2_vrachtverkeer_var1)*AX4</f>
        <v>1.4972222222222224E-2</v>
      </c>
      <c r="AY8">
        <f>(1-tab2_vrachtverkeer_var1)*AY4</f>
        <v>1.2249999999999997E-2</v>
      </c>
    </row>
    <row r="9" spans="1:56" ht="14.5">
      <c r="A9" s="14"/>
      <c r="D9" s="8" t="s">
        <v>104</v>
      </c>
      <c r="E9" s="8" t="s">
        <v>105</v>
      </c>
      <c r="F9" s="8">
        <v>1</v>
      </c>
      <c r="G9" s="8">
        <v>0</v>
      </c>
      <c r="H9" s="8">
        <v>1</v>
      </c>
      <c r="I9" t="str">
        <f>IF(wegbreedte_variant_1-2*rabatstrook_var1/2&lt;VLOOKUP(E9,kritische_breedtes[],2,FALSE),"rood",IF(wegbreedte_variant_1-2*rabatstrook_var1/2&lt;VLOOKUP(E9,kritische_breedtes[],3,FALSE),"geel","groen"))</f>
        <v>geel</v>
      </c>
      <c r="J9">
        <f>$J$4*tab2_duofietsers_var1*tab2_vrachtverkeer_var1</f>
        <v>0.19273858286647993</v>
      </c>
      <c r="K9" s="15"/>
      <c r="P9" s="14"/>
      <c r="S9" s="8" t="s">
        <v>106</v>
      </c>
      <c r="T9" s="8" t="s">
        <v>107</v>
      </c>
      <c r="U9" s="8">
        <v>1</v>
      </c>
      <c r="V9" s="8">
        <v>0</v>
      </c>
      <c r="W9" s="8">
        <v>1</v>
      </c>
      <c r="X9" s="8" t="str">
        <f>IF(wegbreedte_variant_1-2*rabatstrook_var1/2&lt;VLOOKUP(T9,kritische_breedtes[],2,FALSE),"rood",IF(wegbreedte_variant_1-2*rabatstrook_var1/2&lt;VLOOKUP(T9,kritische_breedtes[],3,FALSE),"geel","groen"))</f>
        <v>rood</v>
      </c>
      <c r="Y9">
        <f>$Y$4*tab2_duofietsers_var1*tab2_vrachtverkeer_var1*(1-tab2_duofietsers_var1)+$Y$4*(1-tab2_duofietsers_var1)*tab2_vrachtverkeer_var1*tab2_duofietsers_var1</f>
        <v>6.5541979411764692E-2</v>
      </c>
      <c r="Z9" s="15"/>
      <c r="AC9" s="14"/>
      <c r="AH9" s="15"/>
      <c r="AJ9" s="14"/>
      <c r="AM9" s="8" t="s">
        <v>108</v>
      </c>
      <c r="AN9">
        <f>$AN$4*tab2_vrachtverkeer_var1*tab2_duofietsers_var1</f>
        <v>3.7046454248366008E-4</v>
      </c>
      <c r="AO9" s="15"/>
      <c r="AW9" s="8" t="s">
        <v>109</v>
      </c>
      <c r="AX9">
        <f>tab2_vrachtverkeer_var1*AX4</f>
        <v>3.055555555555556E-4</v>
      </c>
      <c r="AY9">
        <f>tab2_vrachtverkeer_var1*AY4</f>
        <v>2.4999999999999995E-4</v>
      </c>
    </row>
    <row r="10" spans="1:56" ht="14.5">
      <c r="A10" s="14"/>
      <c r="K10" s="15"/>
      <c r="P10" s="14"/>
      <c r="S10" s="8" t="s">
        <v>110</v>
      </c>
      <c r="T10" s="8" t="s">
        <v>111</v>
      </c>
      <c r="U10" s="8">
        <v>1</v>
      </c>
      <c r="V10" s="8">
        <v>1</v>
      </c>
      <c r="W10" s="8">
        <v>0</v>
      </c>
      <c r="X10" s="8" t="str">
        <f>IF(wegbreedte_variant_1-2*rabatstrook_var1/2&lt;VLOOKUP(T10,kritische_breedtes[],2,FALSE),"rood",IF(wegbreedte_variant_1-2*rabatstrook_var1/2&lt;VLOOKUP(T10,kritische_breedtes[],3,FALSE),"geel","groen"))</f>
        <v>rood</v>
      </c>
      <c r="Y10">
        <f>$Y$4*tab2_duofietsers_var1*(1-tab2_vrachtverkeer_var1)*tab2_duofietsers_var1</f>
        <v>0.17841983284313723</v>
      </c>
      <c r="Z10" s="15"/>
      <c r="AC10" s="14"/>
      <c r="AH10" s="15"/>
      <c r="AJ10" s="14"/>
      <c r="AO10" s="15"/>
    </row>
    <row r="11" spans="1:56" ht="14.5">
      <c r="A11" s="14"/>
      <c r="K11" s="15"/>
      <c r="P11" s="14"/>
      <c r="S11" s="8" t="s">
        <v>112</v>
      </c>
      <c r="T11" s="8" t="s">
        <v>113</v>
      </c>
      <c r="U11" s="8">
        <v>1</v>
      </c>
      <c r="V11" s="8">
        <v>0</v>
      </c>
      <c r="W11" s="8">
        <v>1</v>
      </c>
      <c r="X11" s="8" t="str">
        <f>IF(wegbreedte_variant_1-2*rabatstrook_var1/2&lt;VLOOKUP(T11,kritische_breedtes[],2,FALSE),"rood",IF(wegbreedte_variant_1-2*rabatstrook_var1/2&lt;VLOOKUP(T11,kritische_breedtes[],3,FALSE),"geel","groen"))</f>
        <v>rood</v>
      </c>
      <c r="Y11">
        <f>$Y$4*tab2_duofietsers_var1*tab2_vrachtverkeer_var1*tab2_duofietsers_var1</f>
        <v>3.6412210784313721E-3</v>
      </c>
      <c r="Z11" s="15"/>
      <c r="AC11" s="14"/>
      <c r="AH11" s="15"/>
      <c r="AJ11" s="14"/>
      <c r="AO11" s="15"/>
    </row>
    <row r="12" spans="1:56" ht="15" thickBot="1">
      <c r="A12" s="14"/>
      <c r="K12" s="15"/>
      <c r="P12" s="14"/>
      <c r="Z12" s="15"/>
      <c r="AC12" s="14"/>
      <c r="AH12" s="15"/>
      <c r="AJ12" s="14"/>
      <c r="AO12" s="15"/>
      <c r="AX12" s="10" t="s">
        <v>114</v>
      </c>
      <c r="AY12" s="10" t="s">
        <v>115</v>
      </c>
    </row>
    <row r="13" spans="1:56" ht="14.5">
      <c r="A13" s="14"/>
      <c r="K13" s="15"/>
      <c r="P13" s="14"/>
      <c r="Z13" s="15"/>
      <c r="AC13" s="14"/>
      <c r="AH13" s="15"/>
      <c r="AJ13" s="14"/>
      <c r="AO13" s="15"/>
      <c r="AW13" s="8" t="s">
        <v>116</v>
      </c>
      <c r="AX13">
        <f>SUMIF($I$6:$I$47,"geel",$J$6:$J$47)+SUMIF($X$6:$X$47,"geel",$Y$6:$Y$47)</f>
        <v>31.134430343109237</v>
      </c>
      <c r="AY13">
        <f>AX13/(periode/3600)/(weglengte/1000)</f>
        <v>31.134430343109237</v>
      </c>
    </row>
    <row r="14" spans="1:56" ht="14.5">
      <c r="A14" s="16"/>
      <c r="B14" s="17"/>
      <c r="C14" s="17"/>
      <c r="D14" s="17"/>
      <c r="E14" s="17"/>
      <c r="F14" s="17"/>
      <c r="G14" s="17"/>
      <c r="H14" s="17"/>
      <c r="I14" s="17"/>
      <c r="J14" s="17"/>
      <c r="K14" s="18"/>
      <c r="P14" s="16"/>
      <c r="Q14" s="17"/>
      <c r="R14" s="17"/>
      <c r="S14" s="17"/>
      <c r="T14" s="17"/>
      <c r="U14" s="17"/>
      <c r="V14" s="17"/>
      <c r="W14" s="17"/>
      <c r="X14" s="17"/>
      <c r="Y14" s="17"/>
      <c r="Z14" s="18"/>
      <c r="AC14" s="16"/>
      <c r="AD14" s="17"/>
      <c r="AE14" s="17"/>
      <c r="AF14" s="17"/>
      <c r="AG14" s="17"/>
      <c r="AH14" s="18"/>
      <c r="AJ14" s="16"/>
      <c r="AK14" s="17"/>
      <c r="AL14" s="17"/>
      <c r="AM14" s="17"/>
      <c r="AN14" s="17"/>
      <c r="AO14" s="18"/>
      <c r="AW14" s="8" t="s">
        <v>117</v>
      </c>
      <c r="AX14">
        <f>SUMIF($I$6:$I$47,"rood",$J$6:$J$47)+SUMIF($X$6:$X$47,"rood",$Y$6:$Y$47)</f>
        <v>9.7119141195424774</v>
      </c>
      <c r="AY14">
        <f>AX14/(periode/3600)/(weglengte/1000)</f>
        <v>9.7119141195424774</v>
      </c>
    </row>
    <row r="15" spans="1:56" ht="15" thickBot="1">
      <c r="AY15" s="20">
        <f>SUM(AY13:AY14)</f>
        <v>40.846344462651714</v>
      </c>
    </row>
    <row r="16" spans="1:56" ht="13" thickTop="1">
      <c r="A16" s="11"/>
      <c r="B16" s="12"/>
      <c r="C16" s="12"/>
      <c r="D16" s="12"/>
      <c r="E16" s="12"/>
      <c r="F16" s="12"/>
      <c r="G16" s="12"/>
      <c r="H16" s="12"/>
      <c r="I16" s="12"/>
      <c r="J16" s="12"/>
      <c r="K16" s="13"/>
      <c r="P16" s="11"/>
      <c r="Q16" s="12"/>
      <c r="R16" s="12"/>
      <c r="S16" s="12"/>
      <c r="T16" s="12"/>
      <c r="U16" s="12"/>
      <c r="V16" s="12"/>
      <c r="W16" s="12"/>
      <c r="X16" s="12"/>
      <c r="Y16" s="12"/>
      <c r="Z16" s="13"/>
      <c r="AC16" s="11"/>
      <c r="AD16" s="12"/>
      <c r="AE16" s="12"/>
      <c r="AF16" s="12"/>
      <c r="AG16" s="12"/>
      <c r="AH16" s="13"/>
      <c r="AJ16" s="11"/>
      <c r="AK16" s="12"/>
      <c r="AL16" s="12"/>
      <c r="AM16" s="12"/>
      <c r="AN16" s="12"/>
      <c r="AO16" s="13"/>
    </row>
    <row r="17" spans="1:55" ht="15" thickBot="1">
      <c r="A17" s="14"/>
      <c r="D17" s="10" t="s">
        <v>80</v>
      </c>
      <c r="E17" s="10"/>
      <c r="F17" s="10"/>
      <c r="G17" s="10"/>
      <c r="H17" s="10"/>
      <c r="I17" s="10"/>
      <c r="J17" s="10">
        <f>MAX(0,$AX$3*$AY$4*($AZ$3+$AZ$4)*periode+$AY$3*$AX$4*($AZ$3+$AZ$4)*periode-$Y$4-$Y$17-$Y$30)</f>
        <v>376.52802159197012</v>
      </c>
      <c r="K17" s="15"/>
      <c r="P17" s="14"/>
      <c r="S17" s="10" t="s">
        <v>80</v>
      </c>
      <c r="T17" s="10"/>
      <c r="U17" s="10"/>
      <c r="V17" s="10"/>
      <c r="W17" s="10"/>
      <c r="X17" s="10"/>
      <c r="Y17" s="10">
        <f>MAX(0,$AX$3*$AX$4*($AZ$3-$AZ$4)*$AY$4*$BC$3*periode+$AY$3*$AY$4*($AZ$3-$AZ$4)*$AX$4*$BC$3*periode-$Y$30)</f>
        <v>18.206105392156857</v>
      </c>
      <c r="Z17" s="15"/>
      <c r="AC17" s="14"/>
      <c r="AF17" s="10" t="s">
        <v>80</v>
      </c>
      <c r="AG17" s="10">
        <f>$AY$4*($AZ$3+$AZ$4)-$AN$4-$AN$17-$AN$30</f>
        <v>3.383537570028011</v>
      </c>
      <c r="AH17" s="15"/>
      <c r="AJ17" s="14"/>
      <c r="AM17" s="10" t="s">
        <v>80</v>
      </c>
      <c r="AN17" s="10">
        <f>$AX$4*($AZ$3-$AZ$4)*$AY$4*$BC$3-$AN$30</f>
        <v>0.18523227124183003</v>
      </c>
      <c r="AO17" s="15"/>
    </row>
    <row r="18" spans="1:55" ht="14.5">
      <c r="A18" s="14"/>
      <c r="K18" s="15"/>
      <c r="P18" s="14"/>
      <c r="Z18" s="15"/>
      <c r="AC18" s="14"/>
      <c r="AH18" s="15"/>
      <c r="AJ18" s="14"/>
      <c r="AO18" s="15"/>
      <c r="AW18" s="8" t="s">
        <v>118</v>
      </c>
    </row>
    <row r="19" spans="1:55" ht="14.5">
      <c r="A19" s="14"/>
      <c r="D19" s="8" t="s">
        <v>85</v>
      </c>
      <c r="E19" s="8" t="s">
        <v>86</v>
      </c>
      <c r="F19" s="8">
        <v>1</v>
      </c>
      <c r="G19" s="8">
        <v>1</v>
      </c>
      <c r="H19" s="8">
        <v>0</v>
      </c>
      <c r="I19" t="str">
        <f>IF(wegbreedte_variant_1-2*rabatstrook_var1/2&lt;VLOOKUP(E19,kritische_breedtes[],2,FALSE),"rood",IF(wegbreedte_variant_1-2*rabatstrook_var1/2&lt;VLOOKUP(E19,kritische_breedtes[],3,FALSE),"geel","groen"))</f>
        <v>groen</v>
      </c>
      <c r="J19">
        <f>$J$17*(1-tab2_duofietsers_var1)*(1-tab2_vrachtverkeer_var1)</f>
        <v>332.09771504411765</v>
      </c>
      <c r="K19" s="15"/>
      <c r="P19" s="14"/>
      <c r="S19" s="8" t="s">
        <v>119</v>
      </c>
      <c r="T19" s="8" t="s">
        <v>120</v>
      </c>
      <c r="U19" s="8">
        <v>1</v>
      </c>
      <c r="V19" s="8">
        <v>1</v>
      </c>
      <c r="W19" s="8">
        <v>0</v>
      </c>
      <c r="X19" s="8" t="str">
        <f>IF(wegbreedte_variant_1-2*rabatstrook_var1/2&lt;VLOOKUP(T19,kritische_breedtes[],2,FALSE),"rood",IF(wegbreedte_variant_1-2*rabatstrook_var1/2&lt;VLOOKUP(T19,kritische_breedtes[],3,FALSE),"geel","groen"))</f>
        <v>geel</v>
      </c>
      <c r="Y19">
        <f>$Y$17*(1-tab2_duofietsers_var1)*(1-tab2_vrachtverkeer_var1)*(1-tab2_vrachtverkeer_var1)</f>
        <v>15.736629256764701</v>
      </c>
      <c r="Z19" s="15"/>
      <c r="AC19" s="14"/>
      <c r="AF19" s="8" t="s">
        <v>21</v>
      </c>
      <c r="AG19">
        <f>$AG$17*(1-tab2_vrachtverkeer_var1)</f>
        <v>3.3158668186274509</v>
      </c>
      <c r="AH19" s="15"/>
      <c r="AJ19" s="14"/>
      <c r="AM19" s="8" t="s">
        <v>121</v>
      </c>
      <c r="AN19">
        <f>$AN$17*(1-tab2_vrachtverkeer_var1)*(1-tab2_vrachtverkeer_var1)</f>
        <v>0.17789707330065355</v>
      </c>
      <c r="AO19" s="15"/>
    </row>
    <row r="20" spans="1:55" ht="15" thickBot="1">
      <c r="A20" s="14"/>
      <c r="D20" s="8" t="s">
        <v>91</v>
      </c>
      <c r="E20" s="8" t="s">
        <v>92</v>
      </c>
      <c r="F20" s="8">
        <v>1</v>
      </c>
      <c r="G20" s="8">
        <v>1</v>
      </c>
      <c r="H20" s="8">
        <v>0</v>
      </c>
      <c r="I20" t="str">
        <f>IF(wegbreedte_variant_1-2*rabatstrook_var1/2&lt;VLOOKUP(E20,kritische_breedtes[],2,FALSE),"rood",IF(wegbreedte_variant_1-2*rabatstrook_var1/2&lt;VLOOKUP(E20,kritische_breedtes[],3,FALSE),"geel","groen"))</f>
        <v>groen</v>
      </c>
      <c r="J20">
        <f>$J$17*tab2_duofietsers_var1*(1-tab2_vrachtverkeer_var1)</f>
        <v>36.899746116013077</v>
      </c>
      <c r="K20" s="15"/>
      <c r="P20" s="14"/>
      <c r="S20" s="8" t="s">
        <v>122</v>
      </c>
      <c r="T20" s="8" t="s">
        <v>123</v>
      </c>
      <c r="U20" s="8">
        <v>1</v>
      </c>
      <c r="V20" s="8">
        <v>1</v>
      </c>
      <c r="W20" s="8">
        <v>1</v>
      </c>
      <c r="X20" s="8" t="str">
        <f>IF(wegbreedte_variant_1-2*rabatstrook_var1/2&lt;VLOOKUP(T20,kritische_breedtes[],2,FALSE),"rood",IF(wegbreedte_variant_1-2*rabatstrook_var1/2&lt;VLOOKUP(T20,kritische_breedtes[],3,FALSE),"geel","groen"))</f>
        <v>rood</v>
      </c>
      <c r="Y20">
        <f>$Y$17*(1-tab2_duofietsers_var1)*(1-tab2_vrachtverkeer_var1)*tab2_vrachtverkeer_var1+$Y$17*(1-tab2_duofietsers_var1)*tab2_vrachtverkeer_var1*(1-tab2_vrachtverkeer_var1)</f>
        <v>0.64231139823529393</v>
      </c>
      <c r="Z20" s="15"/>
      <c r="AC20" s="14"/>
      <c r="AF20" s="8" t="s">
        <v>95</v>
      </c>
      <c r="AG20">
        <f>$AG$17*tab2_vrachtverkeer_var1</f>
        <v>6.7670751400560225E-2</v>
      </c>
      <c r="AH20" s="15"/>
      <c r="AJ20" s="14"/>
      <c r="AM20" s="8" t="s">
        <v>124</v>
      </c>
      <c r="AN20">
        <f>$AN$17*(1-tab2_vrachtverkeer_var1)*tab2_vrachtverkeer_var1+$AN$17*tab2_vrachtverkeer_var1*(1-tab2_vrachtverkeer_var1)</f>
        <v>7.2611050326797369E-3</v>
      </c>
      <c r="AO20" s="15"/>
      <c r="AX20" s="10" t="s">
        <v>125</v>
      </c>
      <c r="AY20" s="10"/>
      <c r="AZ20" s="23">
        <v>2.5000000000000001E-2</v>
      </c>
      <c r="BA20" s="23">
        <v>0.97499999999999998</v>
      </c>
    </row>
    <row r="21" spans="1:55" ht="14.5">
      <c r="A21" s="14"/>
      <c r="D21" s="8" t="s">
        <v>98</v>
      </c>
      <c r="E21" s="8" t="s">
        <v>99</v>
      </c>
      <c r="F21" s="8">
        <v>1</v>
      </c>
      <c r="G21" s="8">
        <v>0</v>
      </c>
      <c r="H21" s="8">
        <v>1</v>
      </c>
      <c r="I21" t="str">
        <f>IF(wegbreedte_variant_1-2*rabatstrook_var1/2&lt;VLOOKUP(E21,kritische_breedtes[],2,FALSE),"rood",IF(wegbreedte_variant_1-2*rabatstrook_var1/2&lt;VLOOKUP(E21,kritische_breedtes[],3,FALSE),"geel","groen"))</f>
        <v>groen</v>
      </c>
      <c r="J21">
        <f>$J$17*(1-tab2_duofietsers_var1)*tab2_vrachtverkeer_var1</f>
        <v>6.7775043886554629</v>
      </c>
      <c r="K21" s="15"/>
      <c r="P21" s="14"/>
      <c r="S21" s="8" t="s">
        <v>126</v>
      </c>
      <c r="T21" s="8" t="s">
        <v>127</v>
      </c>
      <c r="U21" s="8">
        <v>1</v>
      </c>
      <c r="V21" s="8">
        <v>0</v>
      </c>
      <c r="W21" s="8">
        <v>1</v>
      </c>
      <c r="X21" s="8" t="str">
        <f>IF(wegbreedte_variant_1-2*rabatstrook_var1/2&lt;VLOOKUP(T21,kritische_breedtes[],2,FALSE),"rood",IF(wegbreedte_variant_1-2*rabatstrook_var1/2&lt;VLOOKUP(T21,kritische_breedtes[],3,FALSE),"geel","groen"))</f>
        <v>rood</v>
      </c>
      <c r="Y21">
        <f>$Y$17*(1-tab2_duofietsers_var1)*tab2_vrachtverkeer_var1*tab2_vrachtverkeer_var1</f>
        <v>6.5541979411764687E-3</v>
      </c>
      <c r="Z21" s="15"/>
      <c r="AC21" s="14"/>
      <c r="AH21" s="15"/>
      <c r="AJ21" s="14"/>
      <c r="AM21" s="8" t="s">
        <v>128</v>
      </c>
      <c r="AN21">
        <f>$AN$17*tab2_vrachtverkeer_var1*tab2_vrachtverkeer_var1</f>
        <v>7.4092908496732021E-5</v>
      </c>
      <c r="AO21" s="15"/>
      <c r="AW21" s="8" t="s">
        <v>129</v>
      </c>
      <c r="AX21">
        <v>7.3929999999999998</v>
      </c>
      <c r="AY21">
        <v>1</v>
      </c>
      <c r="AZ21">
        <v>6.4450000000000003</v>
      </c>
      <c r="BA21">
        <v>7.34</v>
      </c>
      <c r="BC21">
        <f>AX21*AY21</f>
        <v>7.3929999999999998</v>
      </c>
    </row>
    <row r="22" spans="1:55" ht="14.5">
      <c r="A22" s="14"/>
      <c r="D22" s="8" t="s">
        <v>104</v>
      </c>
      <c r="E22" s="8" t="s">
        <v>105</v>
      </c>
      <c r="F22" s="8">
        <v>1</v>
      </c>
      <c r="G22" s="8">
        <v>0</v>
      </c>
      <c r="H22" s="8">
        <v>1</v>
      </c>
      <c r="I22" t="str">
        <f>IF(wegbreedte_variant_1-2*rabatstrook_var1/2&lt;VLOOKUP(E22,kritische_breedtes[],2,FALSE),"rood",IF(wegbreedte_variant_1-2*rabatstrook_var1/2&lt;VLOOKUP(E22,kritische_breedtes[],3,FALSE),"geel","groen"))</f>
        <v>geel</v>
      </c>
      <c r="J22">
        <f>$J$17*tab2_duofietsers_var1*tab2_vrachtverkeer_var1</f>
        <v>0.75305604318394037</v>
      </c>
      <c r="K22" s="15"/>
      <c r="P22" s="14"/>
      <c r="S22" s="8" t="s">
        <v>130</v>
      </c>
      <c r="T22" s="8" t="s">
        <v>131</v>
      </c>
      <c r="U22" s="8">
        <v>1</v>
      </c>
      <c r="V22" s="8">
        <v>1</v>
      </c>
      <c r="W22" s="8">
        <v>0</v>
      </c>
      <c r="X22" s="8" t="str">
        <f>IF(wegbreedte_variant_1-2*rabatstrook_var1/2&lt;VLOOKUP(T22,kritische_breedtes[],2,FALSE),"rood",IF(wegbreedte_variant_1-2*rabatstrook_var1/2&lt;VLOOKUP(T22,kritische_breedtes[],3,FALSE),"geel","groen"))</f>
        <v>rood</v>
      </c>
      <c r="Y22">
        <f>$Y$17*tab2_duofietsers_var1*(1-tab2_vrachtverkeer_var1)*(1-tab2_vrachtverkeer_var1)</f>
        <v>1.7485143618627446</v>
      </c>
      <c r="Z22" s="15"/>
      <c r="AC22" s="14"/>
      <c r="AH22" s="15"/>
      <c r="AJ22" s="14"/>
      <c r="AO22" s="15"/>
      <c r="AW22" s="8" t="s">
        <v>132</v>
      </c>
      <c r="AX22">
        <v>2E-3</v>
      </c>
      <c r="AY22">
        <f>MAX(-150,tab2_i_fiets_var1-250)</f>
        <v>-150</v>
      </c>
      <c r="AZ22">
        <v>2.0000000000000001E-4</v>
      </c>
      <c r="BA22">
        <v>3.2000000000000002E-3</v>
      </c>
      <c r="BC22">
        <f>MAX(BC23,MIN(0.5,AX22*AY22))</f>
        <v>-7.9650371702170847E-2</v>
      </c>
    </row>
    <row r="23" spans="1:55" ht="14.5">
      <c r="A23" s="14"/>
      <c r="K23" s="15"/>
      <c r="P23" s="14"/>
      <c r="S23" s="8" t="s">
        <v>133</v>
      </c>
      <c r="T23" s="8" t="s">
        <v>134</v>
      </c>
      <c r="U23" s="8">
        <v>1</v>
      </c>
      <c r="V23" s="8">
        <v>1</v>
      </c>
      <c r="W23" s="8">
        <v>1</v>
      </c>
      <c r="X23" s="8" t="str">
        <f>IF(wegbreedte_variant_1-2*rabatstrook_var1/2&lt;VLOOKUP(T23,kritische_breedtes[],2,FALSE),"rood",IF(wegbreedte_variant_1-2*rabatstrook_var1/2&lt;VLOOKUP(T23,kritische_breedtes[],3,FALSE),"geel","groen"))</f>
        <v>rood</v>
      </c>
      <c r="Y23">
        <f>$Y$17*tab2_duofietsers_var1*(1-tab2_vrachtverkeer_var1)*tab2_vrachtverkeer_var1+$Y$17*tab2_duofietsers_var1*tab2_vrachtverkeer_var1*(1-tab2_vrachtverkeer_var1)</f>
        <v>7.1367933137254883E-2</v>
      </c>
      <c r="Z23" s="15"/>
      <c r="AC23" s="14"/>
      <c r="AH23" s="15"/>
      <c r="AJ23" s="14"/>
      <c r="AO23" s="15"/>
      <c r="AW23" s="8" t="s">
        <v>135</v>
      </c>
      <c r="AX23">
        <v>-0.19500000000000001</v>
      </c>
      <c r="AY23">
        <f>AY15/tab2_i_fiets_var1</f>
        <v>0.40846344462651712</v>
      </c>
      <c r="AZ23">
        <v>-0.27800000000000002</v>
      </c>
      <c r="BA23">
        <v>-0.112</v>
      </c>
      <c r="BC23">
        <f t="shared" ref="BC23" si="0">AX23*AY23</f>
        <v>-7.9650371702170847E-2</v>
      </c>
    </row>
    <row r="24" spans="1:55" ht="14.5">
      <c r="A24" s="14"/>
      <c r="K24" s="15"/>
      <c r="P24" s="14"/>
      <c r="S24" s="8" t="s">
        <v>136</v>
      </c>
      <c r="T24" s="8" t="s">
        <v>137</v>
      </c>
      <c r="U24" s="8">
        <v>1</v>
      </c>
      <c r="V24" s="8">
        <v>0</v>
      </c>
      <c r="W24" s="8">
        <v>1</v>
      </c>
      <c r="X24" s="8" t="str">
        <f>IF(wegbreedte_variant_1-2*rabatstrook_var1/2&lt;VLOOKUP(T24,kritische_breedtes[],2,FALSE),"rood",IF(wegbreedte_variant_1-2*rabatstrook_var1/2&lt;VLOOKUP(T24,kritische_breedtes[],3,FALSE),"geel","groen"))</f>
        <v>rood</v>
      </c>
      <c r="Y24">
        <f>$Y$17*tab2_duofietsers_var1*tab2_vrachtverkeer_var1*tab2_vrachtverkeer_var1</f>
        <v>7.2824421568627436E-4</v>
      </c>
      <c r="Z24" s="15"/>
      <c r="AC24" s="14"/>
      <c r="AH24" s="15"/>
      <c r="AJ24" s="14"/>
      <c r="AO24" s="15"/>
    </row>
    <row r="25" spans="1:55" ht="14.5">
      <c r="A25" s="14"/>
      <c r="K25" s="15"/>
      <c r="P25" s="14"/>
      <c r="Z25" s="15"/>
      <c r="AC25" s="14"/>
      <c r="AH25" s="15"/>
      <c r="AJ25" s="14"/>
      <c r="AO25" s="15"/>
      <c r="AW25" s="8" t="s">
        <v>138</v>
      </c>
      <c r="AY25" s="21">
        <f>MIN(10,MAX(0,SUM(BC21:BC23)))</f>
        <v>7.2336992565956573</v>
      </c>
      <c r="AZ25" s="22">
        <f>MIN(10,MAX(0,SUMPRODUCT(AZ$21:AZ$23,$AY$21:$AY$23)))</f>
        <v>6.3014471623938286</v>
      </c>
      <c r="BA25" s="22">
        <f>MIN(10,MAX(0,SUMPRODUCT(BA$21:BA$23,$AY$21:$AY$23)))</f>
        <v>6.8142520942018292</v>
      </c>
    </row>
    <row r="26" spans="1:55" ht="14.5">
      <c r="A26" s="14"/>
      <c r="K26" s="15"/>
      <c r="P26" s="14"/>
      <c r="Z26" s="15"/>
      <c r="AC26" s="14"/>
      <c r="AH26" s="15"/>
      <c r="AJ26" s="14"/>
      <c r="AO26" s="15"/>
      <c r="AW26" s="8" t="s">
        <v>139</v>
      </c>
      <c r="AY26" s="9">
        <f>MIN(1,MAX(0,-1.79966+0.31481*AY25))</f>
        <v>0.47758086296887847</v>
      </c>
      <c r="AZ26" s="9">
        <f t="shared" ref="AZ26:BA26" si="1">MIN(1,MAX(0,-1.79966+0.31481*AZ25))</f>
        <v>0.18409858119320099</v>
      </c>
      <c r="BA26" s="9">
        <f t="shared" si="1"/>
        <v>0.34553470177567758</v>
      </c>
    </row>
    <row r="27" spans="1:55" ht="14.5">
      <c r="A27" s="16"/>
      <c r="B27" s="17"/>
      <c r="C27" s="17"/>
      <c r="D27" s="17"/>
      <c r="E27" s="17"/>
      <c r="F27" s="17"/>
      <c r="G27" s="17"/>
      <c r="H27" s="17"/>
      <c r="I27" s="17"/>
      <c r="J27" s="17"/>
      <c r="K27" s="18"/>
      <c r="P27" s="16"/>
      <c r="Q27" s="17"/>
      <c r="R27" s="17"/>
      <c r="S27" s="17"/>
      <c r="T27" s="17"/>
      <c r="U27" s="17"/>
      <c r="V27" s="17"/>
      <c r="W27" s="17"/>
      <c r="X27" s="17"/>
      <c r="Y27" s="17"/>
      <c r="Z27" s="18"/>
      <c r="AC27" s="16"/>
      <c r="AD27" s="17"/>
      <c r="AE27" s="17"/>
      <c r="AF27" s="17"/>
      <c r="AG27" s="17"/>
      <c r="AH27" s="18"/>
      <c r="AJ27" s="16"/>
      <c r="AK27" s="17"/>
      <c r="AL27" s="17"/>
      <c r="AM27" s="17"/>
      <c r="AN27" s="17"/>
      <c r="AO27" s="18"/>
      <c r="AW27" s="8" t="s">
        <v>140</v>
      </c>
      <c r="AY27" s="9">
        <f>MIN(1,MAX(0,1.34775-0.17604*AY25))</f>
        <v>7.4329582868900568E-2</v>
      </c>
      <c r="AZ27" s="9">
        <f t="shared" ref="AZ27:BA27" si="2">MIN(1,MAX(0,1.34775-0.17604*AZ25))</f>
        <v>0.23844324153219043</v>
      </c>
      <c r="BA27" s="9">
        <f t="shared" si="2"/>
        <v>0.14816906133670993</v>
      </c>
    </row>
    <row r="28" spans="1:55"/>
    <row r="29" spans="1:55" ht="14.5">
      <c r="A29" s="11"/>
      <c r="B29" s="12"/>
      <c r="C29" s="12"/>
      <c r="D29" s="12"/>
      <c r="E29" s="12"/>
      <c r="F29" s="12"/>
      <c r="G29" s="12"/>
      <c r="H29" s="12"/>
      <c r="I29" s="12"/>
      <c r="J29" s="12"/>
      <c r="K29" s="13"/>
      <c r="P29" s="11"/>
      <c r="Q29" s="12"/>
      <c r="R29" s="12"/>
      <c r="S29" s="12"/>
      <c r="T29" s="12"/>
      <c r="U29" s="12"/>
      <c r="V29" s="12"/>
      <c r="W29" s="12"/>
      <c r="X29" s="12"/>
      <c r="Y29" s="12"/>
      <c r="Z29" s="13"/>
      <c r="AC29" s="11"/>
      <c r="AD29" s="12"/>
      <c r="AE29" s="12"/>
      <c r="AF29" s="12"/>
      <c r="AG29" s="12"/>
      <c r="AH29" s="13"/>
      <c r="AJ29" s="11"/>
      <c r="AK29" s="12"/>
      <c r="AL29" s="12"/>
      <c r="AM29" s="12"/>
      <c r="AN29" s="12"/>
      <c r="AO29" s="13"/>
      <c r="AW29" s="8" t="s">
        <v>60</v>
      </c>
      <c r="AY29" s="22">
        <f>(7-BC21-BC22)/AX23</f>
        <v>1.6069211707580973</v>
      </c>
    </row>
    <row r="30" spans="1:55" ht="15" thickBot="1">
      <c r="A30" s="14"/>
      <c r="D30" s="10" t="s">
        <v>80</v>
      </c>
      <c r="E30" s="10"/>
      <c r="F30" s="10"/>
      <c r="G30" s="10"/>
      <c r="H30" s="10"/>
      <c r="I30" s="10"/>
      <c r="J30" s="10">
        <f>MAX(0,$AX$4*$AY$4*($AZ$4+$AZ$4)*periode-$Y$17-$Y$30)</f>
        <v>119.73412698412697</v>
      </c>
      <c r="K30" s="15"/>
      <c r="P30" s="14"/>
      <c r="S30" s="10" t="s">
        <v>80</v>
      </c>
      <c r="T30" s="10"/>
      <c r="U30" s="10"/>
      <c r="V30" s="10"/>
      <c r="W30" s="10"/>
      <c r="X30" s="10"/>
      <c r="Y30" s="10">
        <f>$AX$3*$AX$4*($AZ$3-$AZ$4)*$AY$4*$BC$3*$AY$3*$BC$3*periode+$AY$3*$AY$4*($AZ$3-$AZ$4)*$AX$4*$BC$3*$AX$3*$BC$3*periode</f>
        <v>3.4883390522875803</v>
      </c>
      <c r="Z30" s="15"/>
      <c r="AC30" s="14"/>
      <c r="AF30" s="10" t="s">
        <v>80</v>
      </c>
      <c r="AG30" s="10">
        <f>$AY$3*($AZ$3+$AZ$3)-$AN$4-$AN$30</f>
        <v>4.7830555555555545</v>
      </c>
      <c r="AH30" s="15"/>
      <c r="AJ30" s="14"/>
      <c r="AM30" s="10" t="s">
        <v>80</v>
      </c>
      <c r="AN30" s="10">
        <f>$AX$4*($AZ$3-$AZ$4)*$AY$4*$BC$3*$AY$3*$BC$3</f>
        <v>3.1712173202614359E-2</v>
      </c>
      <c r="AO30" s="15"/>
    </row>
    <row r="31" spans="1:55">
      <c r="A31" s="14"/>
      <c r="K31" s="15"/>
      <c r="P31" s="14"/>
      <c r="Z31" s="15"/>
      <c r="AC31" s="14"/>
      <c r="AH31" s="15"/>
      <c r="AJ31" s="14"/>
      <c r="AO31" s="15"/>
    </row>
    <row r="32" spans="1:55" ht="14.5">
      <c r="A32" s="14"/>
      <c r="D32" s="8" t="s">
        <v>141</v>
      </c>
      <c r="E32" s="8" t="s">
        <v>142</v>
      </c>
      <c r="F32" s="8"/>
      <c r="G32" s="8"/>
      <c r="H32" s="8"/>
      <c r="J32">
        <f>$J$30*(1-tab2_vrachtverkeer_var1)*(1-tab2_vrachtverkeer_var1)</f>
        <v>114.99265555555554</v>
      </c>
      <c r="K32" s="15"/>
      <c r="P32" s="14"/>
      <c r="S32" s="8" t="s">
        <v>143</v>
      </c>
      <c r="T32" s="8" t="s">
        <v>144</v>
      </c>
      <c r="U32" s="8">
        <v>1</v>
      </c>
      <c r="V32" s="8">
        <v>1</v>
      </c>
      <c r="W32" s="8">
        <v>0</v>
      </c>
      <c r="X32" s="8" t="str">
        <f>IF(wegbreedte_variant_1-2*rabatstrook_var1/2&lt;VLOOKUP(T32,kritische_breedtes[],2,FALSE),"rood",IF(wegbreedte_variant_1-2*rabatstrook_var1/2&lt;VLOOKUP(T32,kritische_breedtes[],3,FALSE),"geel","groen"))</f>
        <v>rood</v>
      </c>
      <c r="Y32">
        <f>$Y$30*(1-tab2_duofietsers_var1)*(1-tab2_vrachtverkeer_var1)*(1-tab2_vrachtverkeer_var1)*(1-tab2_duofietsers_var1)</f>
        <v>2.7136626689117636</v>
      </c>
      <c r="Z32" s="15"/>
      <c r="AC32" s="14"/>
      <c r="AF32" s="8" t="s">
        <v>20</v>
      </c>
      <c r="AG32">
        <f>$AG$30*(1-tab2_duofietsers_var1)</f>
        <v>4.3047499999999994</v>
      </c>
      <c r="AH32" s="15"/>
      <c r="AJ32" s="14"/>
      <c r="AM32" s="8" t="s">
        <v>145</v>
      </c>
      <c r="AN32">
        <f>$AN$30*(1-tab2_vrachtverkeer_var1)*(1-tab2_vrachtverkeer_var1)*(1-tab2_duofietsers_var1)</f>
        <v>2.7410734029411746E-2</v>
      </c>
      <c r="AO32" s="15"/>
    </row>
    <row r="33" spans="1:41" ht="14.5">
      <c r="A33" s="14"/>
      <c r="D33" s="8" t="s">
        <v>146</v>
      </c>
      <c r="E33" s="8" t="s">
        <v>147</v>
      </c>
      <c r="F33" s="8"/>
      <c r="G33" s="8"/>
      <c r="H33" s="8"/>
      <c r="J33">
        <f>$J$30*tab2_vrachtverkeer_var1*(1-tab2_vrachtverkeer_var1)+$J$30*(1-tab2_vrachtverkeer_var1)*tab2_vrachtverkeer_var1</f>
        <v>4.6935777777777776</v>
      </c>
      <c r="K33" s="15"/>
      <c r="P33" s="14"/>
      <c r="S33" s="8" t="s">
        <v>148</v>
      </c>
      <c r="T33" s="8" t="s">
        <v>149</v>
      </c>
      <c r="U33" s="8">
        <v>1</v>
      </c>
      <c r="V33" s="8">
        <v>1</v>
      </c>
      <c r="W33" s="8">
        <v>0</v>
      </c>
      <c r="X33" s="8" t="str">
        <f>IF(wegbreedte_variant_1-2*rabatstrook_var1/2&lt;VLOOKUP(T33,kritische_breedtes[],2,FALSE),"rood",IF(wegbreedte_variant_1-2*rabatstrook_var1/2&lt;VLOOKUP(T33,kritische_breedtes[],3,FALSE),"geel","groen"))</f>
        <v>rood</v>
      </c>
      <c r="Y33">
        <f>$Y$30*(1-tab2_duofietsers_var1)*(1-tab2_vrachtverkeer_var1)*(1-tab2_vrachtverkeer_var1)*tab2_duofietsers_var1+$Y$30*tab2_duofietsers_var1*(1-tab2_vrachtverkeer_var1)*(1-tab2_vrachtverkeer_var1)*(1-tab2_duofietsers_var1)</f>
        <v>0.60303614864705857</v>
      </c>
      <c r="Z33" s="15"/>
      <c r="AC33" s="14"/>
      <c r="AF33" s="8" t="s">
        <v>150</v>
      </c>
      <c r="AG33">
        <f>$AG$30*tab2_duofietsers_var1</f>
        <v>0.47830555555555548</v>
      </c>
      <c r="AH33" s="15"/>
      <c r="AJ33" s="14"/>
      <c r="AM33" s="8" t="s">
        <v>151</v>
      </c>
      <c r="AN33">
        <f>$AN$30*(1-tab2_vrachtverkeer_var1)*(1-tab2_vrachtverkeer_var1)*tab2_duofietsers_var1</f>
        <v>3.0456371143790829E-3</v>
      </c>
      <c r="AO33" s="15"/>
    </row>
    <row r="34" spans="1:41" ht="14.5">
      <c r="A34" s="14"/>
      <c r="D34" s="8" t="s">
        <v>128</v>
      </c>
      <c r="E34" s="8" t="s">
        <v>152</v>
      </c>
      <c r="F34" s="8"/>
      <c r="G34" s="8"/>
      <c r="H34" s="8"/>
      <c r="J34">
        <f>$J$30*tab2_vrachtverkeer_var1*tab2_vrachtverkeer_var1</f>
        <v>4.7893650793650794E-2</v>
      </c>
      <c r="K34" s="15"/>
      <c r="P34" s="14"/>
      <c r="S34" s="8" t="s">
        <v>153</v>
      </c>
      <c r="T34" s="8" t="s">
        <v>154</v>
      </c>
      <c r="U34" s="8">
        <v>1</v>
      </c>
      <c r="V34" s="8">
        <v>1</v>
      </c>
      <c r="W34" s="8">
        <v>1</v>
      </c>
      <c r="X34" s="8" t="str">
        <f>IF(wegbreedte_variant_1-2*rabatstrook_var1/2&lt;VLOOKUP(T34,kritische_breedtes[],2,FALSE),"rood",IF(wegbreedte_variant_1-2*rabatstrook_var1/2&lt;VLOOKUP(T34,kritische_breedtes[],3,FALSE),"geel","groen"))</f>
        <v>rood</v>
      </c>
      <c r="Y34">
        <f>$Y$30*(1-tab2_duofietsers_var1)*(1-tab2_vrachtverkeer_var1)*tab2_vrachtverkeer_var1*(1-tab2_duofietsers_var1)+$Y$30*(1-tab2_duofietsers_var1)*tab2_vrachtverkeer_var1*(1-tab2_vrachtverkeer_var1)*(1-tab2_duofietsers_var1)</f>
        <v>0.11076174158823525</v>
      </c>
      <c r="Z34" s="15"/>
      <c r="AC34" s="14"/>
      <c r="AH34" s="15"/>
      <c r="AJ34" s="14"/>
      <c r="AM34" s="8" t="s">
        <v>155</v>
      </c>
      <c r="AN34">
        <f>$AN$30*(1-tab2_vrachtverkeer_var1)*tab2_vrachtverkeer_var1*(1-tab2_duofietsers_var1)+$AN$30*tab2_vrachtverkeer_var1*(1-tab2_vrachtverkeer_var1)*(1-tab2_duofietsers_var1)</f>
        <v>1.1188054705882345E-3</v>
      </c>
      <c r="AO34" s="15"/>
    </row>
    <row r="35" spans="1:41" ht="14.5">
      <c r="A35" s="14"/>
      <c r="K35" s="15"/>
      <c r="P35" s="14"/>
      <c r="S35" s="8" t="s">
        <v>156</v>
      </c>
      <c r="T35" s="8" t="s">
        <v>157</v>
      </c>
      <c r="U35" s="8">
        <v>1</v>
      </c>
      <c r="V35" s="8">
        <v>1</v>
      </c>
      <c r="W35" s="8">
        <v>1</v>
      </c>
      <c r="X35" s="8" t="str">
        <f>IF(wegbreedte_variant_1-2*rabatstrook_var1/2&lt;VLOOKUP(T35,kritische_breedtes[],2,FALSE),"rood",IF(wegbreedte_variant_1-2*rabatstrook_var1/2&lt;VLOOKUP(T35,kritische_breedtes[],3,FALSE),"geel","groen"))</f>
        <v>rood</v>
      </c>
      <c r="Y35">
        <f>$Y$30*tab2_duofietsers_var1*(1-tab2_vrachtverkeer_var1)*tab2_vrachtverkeer_var1*(1-tab2_duofietsers_var1)+$Y$30*tab2_duofietsers_var1*tab2_vrachtverkeer_var1*(1-tab2_vrachtverkeer_var1)*(1-tab2_duofietsers_var1)+$Y$30*(1-tab2_duofietsers_var1)*(1-tab2_vrachtverkeer_var1)*tab2_vrachtverkeer_var1*tab2_duofietsers_var1+$Y$30*(1-tab2_duofietsers_var1)*tab2_vrachtverkeer_var1*(1-tab2_vrachtverkeer_var1)*tab2_duofietsers_var1</f>
        <v>2.4613720352941168E-2</v>
      </c>
      <c r="Z35" s="15"/>
      <c r="AC35" s="14"/>
      <c r="AH35" s="15"/>
      <c r="AJ35" s="14"/>
      <c r="AM35" s="8" t="s">
        <v>158</v>
      </c>
      <c r="AN35">
        <f>$AN$30*(1-tab2_vrachtverkeer_var1)*tab2_vrachtverkeer_var1*tab2_duofietsers_var1+$AN$30*tab2_vrachtverkeer_var1*(1-tab2_vrachtverkeer_var1)*tab2_duofietsers_var1</f>
        <v>1.2431171895424829E-4</v>
      </c>
      <c r="AO35" s="15"/>
    </row>
    <row r="36" spans="1:41" ht="14.5">
      <c r="A36" s="14"/>
      <c r="K36" s="15"/>
      <c r="P36" s="14"/>
      <c r="S36" s="8" t="s">
        <v>159</v>
      </c>
      <c r="T36" s="8" t="s">
        <v>160</v>
      </c>
      <c r="U36" s="8">
        <v>1</v>
      </c>
      <c r="V36" s="8">
        <v>0</v>
      </c>
      <c r="W36" s="8">
        <v>1</v>
      </c>
      <c r="X36" s="8" t="str">
        <f>IF(wegbreedte_variant_1-2*rabatstrook_var1/2&lt;VLOOKUP(T36,kritische_breedtes[],2,FALSE),"rood",IF(wegbreedte_variant_1-2*rabatstrook_var1/2&lt;VLOOKUP(T36,kritische_breedtes[],3,FALSE),"geel","groen"))</f>
        <v>rood</v>
      </c>
      <c r="Y36">
        <f>$Y$30*(1-tab2_duofietsers_var1)*tab2_vrachtverkeer_var1*tab2_vrachtverkeer_var1*(1-tab2_duofietsers_var1)</f>
        <v>1.1302218529411761E-3</v>
      </c>
      <c r="Z36" s="15"/>
      <c r="AC36" s="14"/>
      <c r="AH36" s="15"/>
      <c r="AJ36" s="14"/>
      <c r="AM36" s="8" t="s">
        <v>161</v>
      </c>
      <c r="AN36">
        <f>$AN$30*tab2_vrachtverkeer_var1*tab2_vrachtverkeer_var1*(1-tab2_duofietsers_var1)</f>
        <v>1.1416382352941171E-5</v>
      </c>
      <c r="AO36" s="15"/>
    </row>
    <row r="37" spans="1:41" ht="14.5">
      <c r="A37" s="14"/>
      <c r="K37" s="15"/>
      <c r="P37" s="14"/>
      <c r="S37" s="8" t="s">
        <v>162</v>
      </c>
      <c r="T37" s="8" t="s">
        <v>163</v>
      </c>
      <c r="U37" s="8">
        <v>1</v>
      </c>
      <c r="V37" s="8">
        <v>0</v>
      </c>
      <c r="W37" s="8">
        <v>1</v>
      </c>
      <c r="X37" s="8" t="str">
        <f>IF(wegbreedte_variant_1-2*rabatstrook_var1/2&lt;VLOOKUP(T37,kritische_breedtes[],2,FALSE),"rood",IF(wegbreedte_variant_1-2*rabatstrook_var1/2&lt;VLOOKUP(T37,kritische_breedtes[],3,FALSE),"geel","groen"))</f>
        <v>rood</v>
      </c>
      <c r="Y37">
        <f>$Y$30*(1-tab2_duofietsers_var1)*tab2_vrachtverkeer_var1*tab2_vrachtverkeer_var1*tab2_duofietsers_var1+$Y$30*tab2_duofietsers_var1*tab2_vrachtverkeer_var1*tab2_vrachtverkeer_var1*(1-tab2_duofietsers_var1)</f>
        <v>2.5116041176470583E-4</v>
      </c>
      <c r="Z37" s="15"/>
      <c r="AC37" s="14"/>
      <c r="AH37" s="15"/>
      <c r="AJ37" s="14"/>
      <c r="AM37" s="8" t="s">
        <v>164</v>
      </c>
      <c r="AN37">
        <f>$AN$30*tab2_vrachtverkeer_var1*tab2_vrachtverkeer_var1*tab2_duofietsers_var1</f>
        <v>1.2684869281045745E-6</v>
      </c>
      <c r="AO37" s="15"/>
    </row>
    <row r="38" spans="1:41" ht="14.5">
      <c r="A38" s="14"/>
      <c r="K38" s="15"/>
      <c r="P38" s="14"/>
      <c r="S38" s="8" t="s">
        <v>165</v>
      </c>
      <c r="T38" s="8" t="s">
        <v>166</v>
      </c>
      <c r="U38" s="8">
        <v>1</v>
      </c>
      <c r="V38" s="8">
        <v>1</v>
      </c>
      <c r="W38" s="8">
        <v>0</v>
      </c>
      <c r="X38" s="8" t="str">
        <f>IF(wegbreedte_variant_1-2*rabatstrook_var1/2&lt;VLOOKUP(T38,kritische_breedtes[],2,FALSE),"rood",IF(wegbreedte_variant_1-2*rabatstrook_var1/2&lt;VLOOKUP(T38,kritische_breedtes[],3,FALSE),"geel","groen"))</f>
        <v>rood</v>
      </c>
      <c r="Y38">
        <f>$Y$30*tab2_duofietsers_var1*(1-tab2_vrachtverkeer_var1)*(1-tab2_vrachtverkeer_var1)*tab2_duofietsers_var1</f>
        <v>3.3502008258169923E-2</v>
      </c>
      <c r="Z38" s="15"/>
      <c r="AC38" s="14"/>
      <c r="AH38" s="15"/>
      <c r="AJ38" s="14"/>
      <c r="AO38" s="15"/>
    </row>
    <row r="39" spans="1:41" ht="14.5">
      <c r="A39" s="14"/>
      <c r="K39" s="15"/>
      <c r="P39" s="14"/>
      <c r="S39" s="8" t="s">
        <v>167</v>
      </c>
      <c r="T39" s="8" t="s">
        <v>168</v>
      </c>
      <c r="U39" s="8">
        <v>1</v>
      </c>
      <c r="V39" s="8">
        <v>1</v>
      </c>
      <c r="W39" s="8">
        <v>1</v>
      </c>
      <c r="X39" s="8" t="str">
        <f>IF(wegbreedte_variant_1-2*rabatstrook_var1/2&lt;VLOOKUP(T39,kritische_breedtes[],2,FALSE),"rood",IF(wegbreedte_variant_1-2*rabatstrook_var1/2&lt;VLOOKUP(T39,kritische_breedtes[],3,FALSE),"geel","groen"))</f>
        <v>rood</v>
      </c>
      <c r="Y39">
        <f>$Y$30*tab2_duofietsers_var1*(1-tab2_vrachtverkeer_var1)*tab2_vrachtverkeer_var1*tab2_duofietsers_var1+$Y$30*tab2_duofietsers_var1*tab2_vrachtverkeer_var1*(1-tab2_vrachtverkeer_var1)*tab2_duofietsers_var1</f>
        <v>1.3674289084967318E-3</v>
      </c>
      <c r="Z39" s="15"/>
      <c r="AC39" s="14"/>
      <c r="AH39" s="15"/>
      <c r="AJ39" s="14"/>
      <c r="AO39" s="15"/>
    </row>
    <row r="40" spans="1:41" ht="14.5">
      <c r="A40" s="16"/>
      <c r="B40" s="17"/>
      <c r="C40" s="17"/>
      <c r="D40" s="17"/>
      <c r="E40" s="17"/>
      <c r="F40" s="17"/>
      <c r="G40" s="17"/>
      <c r="H40" s="17"/>
      <c r="I40" s="17"/>
      <c r="J40" s="17"/>
      <c r="K40" s="18"/>
      <c r="P40" s="14"/>
      <c r="S40" s="8" t="s">
        <v>169</v>
      </c>
      <c r="T40" s="8" t="s">
        <v>170</v>
      </c>
      <c r="U40" s="8">
        <v>1</v>
      </c>
      <c r="V40" s="8">
        <v>0</v>
      </c>
      <c r="W40" s="8">
        <v>1</v>
      </c>
      <c r="X40" s="8" t="str">
        <f>IF(wegbreedte_variant_1-2*rabatstrook_var1/2&lt;VLOOKUP(T40,kritische_breedtes[],2,FALSE),"rood",IF(wegbreedte_variant_1-2*rabatstrook_var1/2&lt;VLOOKUP(T40,kritische_breedtes[],3,FALSE),"geel","groen"))</f>
        <v>rood</v>
      </c>
      <c r="Y40">
        <f>$Y$30*tab2_duofietsers_var1*tab2_vrachtverkeer_var1*tab2_vrachtverkeer_var1*tab2_duofietsers_var1</f>
        <v>1.3953356209150325E-5</v>
      </c>
      <c r="Z40" s="15"/>
      <c r="AC40" s="14"/>
      <c r="AH40" s="15"/>
      <c r="AJ40" s="14"/>
      <c r="AO40" s="15"/>
    </row>
    <row r="41" spans="1:41">
      <c r="P41" s="16"/>
      <c r="Q41" s="17"/>
      <c r="R41" s="17"/>
      <c r="S41" s="17"/>
      <c r="T41" s="17"/>
      <c r="U41" s="17"/>
      <c r="V41" s="17"/>
      <c r="W41" s="17"/>
      <c r="X41" s="17"/>
      <c r="Y41" s="17"/>
      <c r="Z41" s="18"/>
      <c r="AC41" s="16"/>
      <c r="AD41" s="17"/>
      <c r="AE41" s="17"/>
      <c r="AF41" s="17"/>
      <c r="AG41" s="17"/>
      <c r="AH41" s="18"/>
      <c r="AJ41" s="16"/>
      <c r="AK41" s="17"/>
      <c r="AL41" s="17"/>
      <c r="AM41" s="17"/>
      <c r="AN41" s="17"/>
      <c r="AO41" s="18"/>
    </row>
    <row r="42" spans="1:41">
      <c r="A42" s="11"/>
      <c r="B42" s="12"/>
      <c r="C42" s="12"/>
      <c r="D42" s="12"/>
      <c r="E42" s="12"/>
      <c r="F42" s="12"/>
      <c r="G42" s="12"/>
      <c r="H42" s="12"/>
      <c r="I42" s="12"/>
      <c r="J42" s="12"/>
      <c r="K42" s="13"/>
    </row>
    <row r="43" spans="1:41" ht="15" thickBot="1">
      <c r="A43" s="14"/>
      <c r="D43" s="10" t="s">
        <v>80</v>
      </c>
      <c r="E43" s="10"/>
      <c r="F43" s="10"/>
      <c r="G43" s="10"/>
      <c r="H43" s="10"/>
      <c r="I43" s="10"/>
      <c r="J43" s="10">
        <f>$AX$3*$AY$3*($AZ$3+$AZ$3)*3600-$Y$4-$Y$30</f>
        <v>253.30555555555554</v>
      </c>
      <c r="K43" s="15"/>
    </row>
    <row r="44" spans="1:41">
      <c r="A44" s="14"/>
      <c r="K44" s="15"/>
    </row>
    <row r="45" spans="1:41" ht="14.5">
      <c r="A45" s="14"/>
      <c r="D45" s="8" t="s">
        <v>171</v>
      </c>
      <c r="E45" s="8" t="s">
        <v>172</v>
      </c>
      <c r="F45" s="8"/>
      <c r="G45" s="8"/>
      <c r="H45" s="8"/>
      <c r="J45">
        <f>$J$43*(1-tab2_duofietsers_var1)*(1-tab2_duofietsers_var1)</f>
        <v>205.17750000000001</v>
      </c>
      <c r="K45" s="15"/>
    </row>
    <row r="46" spans="1:41" ht="14.5">
      <c r="A46" s="14"/>
      <c r="D46" s="8" t="s">
        <v>173</v>
      </c>
      <c r="E46" s="8" t="s">
        <v>174</v>
      </c>
      <c r="F46" s="8"/>
      <c r="G46" s="8"/>
      <c r="H46" s="8"/>
      <c r="J46">
        <f>$J$43*tab2_duofietsers_var1*(1-tab2_duofietsers_var1)+$J$43*(1-tab2_duofietsers_var1)*tab2_duofietsers_var1</f>
        <v>45.594999999999999</v>
      </c>
      <c r="K46" s="15"/>
    </row>
    <row r="47" spans="1:41" ht="14.5">
      <c r="A47" s="14"/>
      <c r="D47" s="8" t="s">
        <v>175</v>
      </c>
      <c r="E47" s="8" t="s">
        <v>176</v>
      </c>
      <c r="F47" s="8"/>
      <c r="G47" s="8"/>
      <c r="H47" s="8"/>
      <c r="J47">
        <f>$J$43*tab2_duofietsers_var1*tab2_duofietsers_var1</f>
        <v>2.5330555555555558</v>
      </c>
      <c r="K47" s="15"/>
    </row>
    <row r="48" spans="1:41">
      <c r="A48" s="14"/>
      <c r="K48" s="15"/>
    </row>
    <row r="49" spans="1:11">
      <c r="A49" s="14"/>
      <c r="K49" s="15"/>
    </row>
    <row r="50" spans="1:11">
      <c r="A50" s="14"/>
      <c r="K50" s="15"/>
    </row>
    <row r="51" spans="1:11">
      <c r="A51" s="14"/>
      <c r="K51" s="15"/>
    </row>
    <row r="52" spans="1:11">
      <c r="A52" s="14"/>
      <c r="K52" s="15"/>
    </row>
    <row r="53" spans="1:11">
      <c r="A53" s="16"/>
      <c r="B53" s="17"/>
      <c r="C53" s="17"/>
      <c r="D53" s="17"/>
      <c r="E53" s="17"/>
      <c r="F53" s="17"/>
      <c r="G53" s="17"/>
      <c r="H53" s="17"/>
      <c r="I53" s="17"/>
      <c r="J53" s="17"/>
      <c r="K53" s="18"/>
    </row>
    <row r="54" spans="1:11"/>
  </sheetData>
  <sheetProtection algorithmName="SHA-512" hashValue="WxHh2umuUAwuKKl0UHRkJUar7CWO+Gctils/OzbffCKP30paph0pQ9wXVNiwbgYHKjXWQE8WFvk+OMENRallGg==" saltValue="n6fTH1x83FVlEhqsoQMHE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D4CDC-CCD2-4D95-B685-9BE1081AEA14}">
  <sheetPr codeName="Blad5"/>
  <dimension ref="A1:BD54"/>
  <sheetViews>
    <sheetView workbookViewId="0"/>
  </sheetViews>
  <sheetFormatPr defaultColWidth="9.1796875" defaultRowHeight="12.5" zeroHeight="1"/>
  <cols>
    <col min="1" max="3" width="9.1796875" customWidth="1"/>
    <col min="4" max="4" width="54.26953125" customWidth="1"/>
    <col min="5" max="5" width="12.1796875" customWidth="1"/>
    <col min="6" max="8" width="12.1796875" hidden="1" customWidth="1"/>
    <col min="9" max="18" width="9.1796875" customWidth="1"/>
    <col min="19" max="19" width="54.26953125" customWidth="1"/>
    <col min="20" max="20" width="12.1796875" customWidth="1"/>
    <col min="21" max="23" width="12.1796875" hidden="1" customWidth="1"/>
    <col min="24" max="31" width="9.1796875" customWidth="1"/>
    <col min="32" max="32" width="54.26953125" customWidth="1"/>
    <col min="33" max="38" width="9.1796875" customWidth="1"/>
    <col min="39" max="39" width="54.26953125" customWidth="1"/>
    <col min="40" max="48" width="9.1796875" customWidth="1"/>
    <col min="49" max="49" width="32.81640625" customWidth="1"/>
    <col min="50" max="54" width="22.81640625" customWidth="1"/>
    <col min="55" max="55" width="9.1796875" customWidth="1"/>
    <col min="56" max="56" width="12.81640625" customWidth="1"/>
  </cols>
  <sheetData>
    <row r="1" spans="1:56" ht="17.5" thickBot="1">
      <c r="A1" s="19" t="s">
        <v>70</v>
      </c>
      <c r="B1" s="19"/>
      <c r="C1" s="19"/>
      <c r="D1" s="19"/>
      <c r="E1" s="19"/>
      <c r="F1" s="19" t="s">
        <v>71</v>
      </c>
      <c r="G1" s="19" t="s">
        <v>72</v>
      </c>
      <c r="H1" s="19" t="s">
        <v>73</v>
      </c>
      <c r="I1" s="19"/>
      <c r="J1" s="19"/>
      <c r="K1" s="19"/>
      <c r="L1" s="19"/>
      <c r="M1" s="19"/>
      <c r="N1" s="19"/>
      <c r="O1" s="19"/>
      <c r="P1" s="19"/>
      <c r="Q1" s="19"/>
      <c r="R1" s="19"/>
      <c r="S1" s="19"/>
      <c r="T1" s="19"/>
      <c r="U1" s="19" t="s">
        <v>71</v>
      </c>
      <c r="V1" s="19" t="s">
        <v>72</v>
      </c>
      <c r="W1" s="19" t="s">
        <v>73</v>
      </c>
      <c r="X1" s="19"/>
      <c r="Y1" s="19"/>
      <c r="Z1" s="19"/>
      <c r="AC1" s="19" t="s">
        <v>74</v>
      </c>
      <c r="AD1" s="19"/>
      <c r="AE1" s="19"/>
      <c r="AF1" s="19"/>
      <c r="AG1" s="19"/>
      <c r="AH1" s="19"/>
      <c r="AI1" s="19"/>
      <c r="AJ1" s="19"/>
      <c r="AK1" s="19"/>
      <c r="AL1" s="19"/>
      <c r="AM1" s="19"/>
      <c r="AN1" s="19"/>
      <c r="AO1" s="19"/>
    </row>
    <row r="2" spans="1:56" ht="15.5" thickTop="1" thickBot="1">
      <c r="AX2" s="10" t="s">
        <v>75</v>
      </c>
      <c r="AY2" s="10" t="s">
        <v>76</v>
      </c>
      <c r="AZ2" s="10" t="s">
        <v>77</v>
      </c>
    </row>
    <row r="3" spans="1:56" ht="14.5">
      <c r="A3" s="11"/>
      <c r="B3" s="12"/>
      <c r="C3" s="12"/>
      <c r="D3" s="12"/>
      <c r="E3" s="12"/>
      <c r="F3" s="12"/>
      <c r="G3" s="12"/>
      <c r="H3" s="12"/>
      <c r="I3" s="12"/>
      <c r="J3" s="12"/>
      <c r="K3" s="13"/>
      <c r="P3" s="11"/>
      <c r="Q3" s="12"/>
      <c r="R3" s="12"/>
      <c r="S3" s="12"/>
      <c r="T3" s="12"/>
      <c r="U3" s="12"/>
      <c r="V3" s="12"/>
      <c r="W3" s="12"/>
      <c r="X3" s="12"/>
      <c r="Y3" s="12"/>
      <c r="Z3" s="13"/>
      <c r="AC3" s="11"/>
      <c r="AD3" s="12"/>
      <c r="AE3" s="12"/>
      <c r="AF3" s="12"/>
      <c r="AG3" s="12"/>
      <c r="AH3" s="13"/>
      <c r="AJ3" s="11"/>
      <c r="AK3" s="12"/>
      <c r="AL3" s="12"/>
      <c r="AM3" s="12"/>
      <c r="AN3" s="12"/>
      <c r="AO3" s="13"/>
      <c r="AW3" s="8" t="s">
        <v>20</v>
      </c>
      <c r="AX3" s="21">
        <f>tab2_i_fiets_var2/3600*tab2_fiets_ri1_var2</f>
        <v>3.0555555555555558E-2</v>
      </c>
      <c r="AY3" s="21">
        <f>tab2_i_fiets_var2/3600*tab2_fiets_ri2_var2</f>
        <v>2.4999999999999994E-2</v>
      </c>
      <c r="AZ3" s="21">
        <f>weglengte/(tab2_v_fiets_var2/3.6)</f>
        <v>200</v>
      </c>
      <c r="BB3" s="8" t="s">
        <v>78</v>
      </c>
      <c r="BC3" s="22">
        <f>(lengte_auto+lengte_fiets)/((tab2_v_auto_var2-tab2_v_fiets_var2)/3.6)+vooruitkijken</f>
        <v>11.694117647058823</v>
      </c>
      <c r="BD3" s="8" t="s">
        <v>79</v>
      </c>
    </row>
    <row r="4" spans="1:56" ht="15" thickBot="1">
      <c r="A4" s="14"/>
      <c r="D4" s="10" t="s">
        <v>80</v>
      </c>
      <c r="E4" s="10"/>
      <c r="F4" s="10"/>
      <c r="G4" s="10"/>
      <c r="H4" s="10"/>
      <c r="I4" s="10"/>
      <c r="J4" s="10">
        <f>MAX(0,$AX$3*$AX$4*($AZ$3-$AZ$4)*periode+$AY$3*$AY$4*($AZ$3-$AZ$4)*periode-$Y$4-$Y$17-$Y$30)</f>
        <v>156.32637208216624</v>
      </c>
      <c r="K4" s="15"/>
      <c r="P4" s="14"/>
      <c r="S4" s="10" t="s">
        <v>80</v>
      </c>
      <c r="T4" s="10"/>
      <c r="U4" s="10"/>
      <c r="V4" s="10"/>
      <c r="W4" s="10"/>
      <c r="X4" s="10"/>
      <c r="Y4" s="10">
        <f>MAX(0,$AX$3*$AX$4*($AZ$3-$AZ$4)*$AY$3*$BC$3*periode+$AY$3*$AY$4*($AZ$3-$AZ$4)*$AX$3*$BC$3*periode-$Y$30)</f>
        <v>72.824421568627429</v>
      </c>
      <c r="Z4" s="15"/>
      <c r="AC4" s="14"/>
      <c r="AF4" s="10" t="s">
        <v>80</v>
      </c>
      <c r="AG4" s="10">
        <f>$AX$4*($AZ$3-$AZ$4)-$AN$4-$AN$17-$AN$30</f>
        <v>0.89671799719887957</v>
      </c>
      <c r="AH4" s="15"/>
      <c r="AJ4" s="14"/>
      <c r="AM4" s="10" t="s">
        <v>80</v>
      </c>
      <c r="AN4" s="10">
        <f>$AX$4*($AZ$3-$AZ$4)*$AY$3*$BC$3-$AN$30</f>
        <v>0.37046454248366006</v>
      </c>
      <c r="AO4" s="15"/>
      <c r="AW4" s="8" t="s">
        <v>21</v>
      </c>
      <c r="AX4" s="21">
        <f>tab2_i_auto_var_2/3600*tab2_auto_ri1_var2</f>
        <v>1.5277777777777779E-2</v>
      </c>
      <c r="AY4" s="21">
        <f>tab2_i_auto_var_2/3600*tab2_auto_ri2_var2</f>
        <v>1.2499999999999997E-2</v>
      </c>
      <c r="AZ4" s="21">
        <f>weglengte/(tab2_v_auto_var2/3.6)</f>
        <v>102.85714285714286</v>
      </c>
      <c r="BB4" s="8" t="s">
        <v>81</v>
      </c>
      <c r="BC4" s="22">
        <f>BC3*tab2_v_fiets_var2/3.6</f>
        <v>58.470588235294109</v>
      </c>
      <c r="BD4" s="8" t="s">
        <v>82</v>
      </c>
    </row>
    <row r="5" spans="1:56" ht="14.5">
      <c r="A5" s="14"/>
      <c r="K5" s="15"/>
      <c r="P5" s="14"/>
      <c r="Z5" s="15"/>
      <c r="AC5" s="14"/>
      <c r="AH5" s="15"/>
      <c r="AJ5" s="14"/>
      <c r="AO5" s="15"/>
      <c r="BB5" s="8" t="s">
        <v>83</v>
      </c>
      <c r="BC5" s="22">
        <f>BC4/(tab2_v_auto_var2/3.6)</f>
        <v>6.0141176470588231</v>
      </c>
      <c r="BD5" s="8" t="s">
        <v>84</v>
      </c>
    </row>
    <row r="6" spans="1:56" ht="14.5">
      <c r="A6" s="14"/>
      <c r="D6" s="8" t="s">
        <v>85</v>
      </c>
      <c r="E6" s="8" t="s">
        <v>86</v>
      </c>
      <c r="F6" s="8">
        <v>1</v>
      </c>
      <c r="G6" s="8">
        <v>1</v>
      </c>
      <c r="H6" s="8">
        <v>0</v>
      </c>
      <c r="I6" t="str">
        <f>IF(wegbreedte_variant_2-rabatstrook_var2/2&lt;VLOOKUP(E6,kritische_breedtes[],2,FALSE),"rood",IF(wegbreedte_variant_2-rabatstrook_var2/2&lt;VLOOKUP(E6,kritische_breedtes[],3,FALSE),"geel","groen"))</f>
        <v>groen</v>
      </c>
      <c r="J6">
        <f>$J$4*(1-tab2_duofietsers_var2)*(1-tab2_vrachtverkeer_var2)</f>
        <v>137.87986017647063</v>
      </c>
      <c r="K6" s="15"/>
      <c r="P6" s="14"/>
      <c r="S6" s="8" t="s">
        <v>87</v>
      </c>
      <c r="T6" s="8" t="s">
        <v>88</v>
      </c>
      <c r="U6" s="8">
        <v>1</v>
      </c>
      <c r="V6" s="8">
        <v>1</v>
      </c>
      <c r="W6" s="8">
        <v>0</v>
      </c>
      <c r="X6" s="8" t="str">
        <f>IF(wegbreedte_variant_2-rabatstrook_var2/2&lt;VLOOKUP(T6,kritische_breedtes[],2,FALSE),"rood",IF(wegbreedte_variant_2-rabatstrook_var2/2&lt;VLOOKUP(T6,kritische_breedtes[],3,FALSE),"geel","groen"))</f>
        <v>geel</v>
      </c>
      <c r="Y6">
        <f>$Y$4*(1-tab2_duofietsers_var2)*(1-tab2_vrachtverkeer_var2)*(1-tab2_duofietsers_var2)</f>
        <v>57.808025841176452</v>
      </c>
      <c r="Z6" s="15"/>
      <c r="AC6" s="14"/>
      <c r="AF6" s="8" t="s">
        <v>21</v>
      </c>
      <c r="AG6">
        <f>$AG$4*(1-tab2_vrachtverkeer_var2)</f>
        <v>0.87878363725490194</v>
      </c>
      <c r="AH6" s="15"/>
      <c r="AJ6" s="14"/>
      <c r="AM6" s="8" t="s">
        <v>89</v>
      </c>
      <c r="AN6">
        <f>$AN$4*(1-tab2_vrachtverkeer_var2)*(1-tab2_duofietsers_var2)</f>
        <v>0.32674972647058814</v>
      </c>
      <c r="AO6" s="15"/>
      <c r="AW6" s="8" t="s">
        <v>90</v>
      </c>
      <c r="AX6" s="21">
        <f>(1-tab2_duofietsers_var2)*AX3</f>
        <v>2.7500000000000004E-2</v>
      </c>
      <c r="AY6" s="21">
        <f>(1-tab2_duofietsers_var2)*AY3</f>
        <v>2.2499999999999996E-2</v>
      </c>
    </row>
    <row r="7" spans="1:56" ht="14.5">
      <c r="A7" s="14"/>
      <c r="D7" s="8" t="s">
        <v>91</v>
      </c>
      <c r="E7" s="8" t="s">
        <v>92</v>
      </c>
      <c r="F7" s="8">
        <v>1</v>
      </c>
      <c r="G7" s="8">
        <v>1</v>
      </c>
      <c r="H7" s="8">
        <v>0</v>
      </c>
      <c r="I7" t="str">
        <f>IF(wegbreedte_variant_2-rabatstrook_var2/2&lt;VLOOKUP(E7,kritische_breedtes[],2,FALSE),"rood",IF(wegbreedte_variant_2-rabatstrook_var2/2&lt;VLOOKUP(E7,kritische_breedtes[],3,FALSE),"geel","groen"))</f>
        <v>groen</v>
      </c>
      <c r="J7">
        <f>$J$4*tab2_duofietsers_var2*(1-tab2_vrachtverkeer_var2)</f>
        <v>15.319984464052292</v>
      </c>
      <c r="K7" s="15"/>
      <c r="P7" s="14"/>
      <c r="S7" s="8" t="s">
        <v>93</v>
      </c>
      <c r="T7" s="8" t="s">
        <v>94</v>
      </c>
      <c r="U7" s="8">
        <v>1</v>
      </c>
      <c r="V7" s="8">
        <v>1</v>
      </c>
      <c r="W7" s="8">
        <v>0</v>
      </c>
      <c r="X7" s="8" t="str">
        <f>IF(wegbreedte_variant_2-rabatstrook_var2/2&lt;VLOOKUP(T7,kritische_breedtes[],2,FALSE),"rood",IF(wegbreedte_variant_2-rabatstrook_var2/2&lt;VLOOKUP(T7,kritische_breedtes[],3,FALSE),"geel","groen"))</f>
        <v>rood</v>
      </c>
      <c r="Y7">
        <f>$Y$4*tab2_duofietsers_var2*(1-tab2_vrachtverkeer_var2)*(1-tab2_duofietsers_var2)+$Y$4*(1-tab2_duofietsers_var2)*(1-tab2_vrachtverkeer_var2)*tab2_duofietsers_var2</f>
        <v>12.846227964705879</v>
      </c>
      <c r="Z7" s="15"/>
      <c r="AC7" s="14"/>
      <c r="AF7" s="8" t="s">
        <v>95</v>
      </c>
      <c r="AG7">
        <f>$AG$4*tab2_vrachtverkeer_var2</f>
        <v>1.7934359943977591E-2</v>
      </c>
      <c r="AH7" s="15"/>
      <c r="AJ7" s="14"/>
      <c r="AM7" s="8" t="s">
        <v>96</v>
      </c>
      <c r="AN7">
        <f>$AN$4*tab2_vrachtverkeer_var2*(1-tab2_duofietsers_var2)</f>
        <v>6.6683617647058813E-3</v>
      </c>
      <c r="AO7" s="15"/>
      <c r="AW7" s="8" t="s">
        <v>97</v>
      </c>
      <c r="AX7" s="21">
        <f>tab2_duofietsers_var2*AX3</f>
        <v>3.0555555555555561E-3</v>
      </c>
      <c r="AY7" s="21">
        <f>tab2_duofietsers_var2*AY3</f>
        <v>2.4999999999999996E-3</v>
      </c>
    </row>
    <row r="8" spans="1:56" ht="14.5">
      <c r="A8" s="14"/>
      <c r="D8" s="8" t="s">
        <v>98</v>
      </c>
      <c r="E8" s="8" t="s">
        <v>99</v>
      </c>
      <c r="F8" s="8">
        <v>1</v>
      </c>
      <c r="G8" s="8">
        <v>0</v>
      </c>
      <c r="H8" s="8">
        <v>1</v>
      </c>
      <c r="I8" t="str">
        <f>IF(wegbreedte_variant_2-rabatstrook_var2/2&lt;VLOOKUP(E8,kritische_breedtes[],2,FALSE),"rood",IF(wegbreedte_variant_2-rabatstrook_var2/2&lt;VLOOKUP(E8,kritische_breedtes[],3,FALSE),"geel","groen"))</f>
        <v>groen</v>
      </c>
      <c r="J8">
        <f>$J$4*(1-tab2_duofietsers_var2)*tab2_vrachtverkeer_var2</f>
        <v>2.813874697478993</v>
      </c>
      <c r="K8" s="15"/>
      <c r="P8" s="14"/>
      <c r="S8" s="8" t="s">
        <v>100</v>
      </c>
      <c r="T8" s="8" t="s">
        <v>101</v>
      </c>
      <c r="U8" s="8">
        <v>1</v>
      </c>
      <c r="V8" s="8">
        <v>0</v>
      </c>
      <c r="W8" s="8">
        <v>1</v>
      </c>
      <c r="X8" s="8" t="str">
        <f>IF(wegbreedte_variant_2-rabatstrook_var2/2&lt;VLOOKUP(T8,kritische_breedtes[],2,FALSE),"rood",IF(wegbreedte_variant_2-rabatstrook_var2/2&lt;VLOOKUP(T8,kritische_breedtes[],3,FALSE),"geel","groen"))</f>
        <v>rood</v>
      </c>
      <c r="Y8">
        <f>$Y$4*(1-tab2_duofietsers_var2)*tab2_vrachtverkeer_var2*(1-tab2_duofietsers_var2)</f>
        <v>1.1797556294117644</v>
      </c>
      <c r="Z8" s="15"/>
      <c r="AC8" s="14"/>
      <c r="AH8" s="15"/>
      <c r="AJ8" s="14"/>
      <c r="AM8" s="8" t="s">
        <v>102</v>
      </c>
      <c r="AN8">
        <f>$AN$4*(1-tab2_vrachtverkeer_var2)*tab2_duofietsers_var2</f>
        <v>3.6305525163398682E-2</v>
      </c>
      <c r="AO8" s="15"/>
      <c r="AW8" s="8" t="s">
        <v>103</v>
      </c>
      <c r="AX8" s="21">
        <f>(1-tab2_vrachtverkeer_var2)*AX4</f>
        <v>1.4972222222222224E-2</v>
      </c>
      <c r="AY8" s="21">
        <f>(1-tab2_vrachtverkeer_var2)*AY4</f>
        <v>1.2249999999999997E-2</v>
      </c>
    </row>
    <row r="9" spans="1:56" ht="14.5">
      <c r="A9" s="14"/>
      <c r="D9" s="8" t="s">
        <v>104</v>
      </c>
      <c r="E9" s="8" t="s">
        <v>105</v>
      </c>
      <c r="F9" s="8">
        <v>1</v>
      </c>
      <c r="G9" s="8">
        <v>0</v>
      </c>
      <c r="H9" s="8">
        <v>1</v>
      </c>
      <c r="I9" t="str">
        <f>IF(wegbreedte_variant_2-rabatstrook_var2/2&lt;VLOOKUP(E9,kritische_breedtes[],2,FALSE),"rood",IF(wegbreedte_variant_2-rabatstrook_var2/2&lt;VLOOKUP(E9,kritische_breedtes[],3,FALSE),"geel","groen"))</f>
        <v>geel</v>
      </c>
      <c r="J9">
        <f>$J$4*tab2_duofietsers_var2*tab2_vrachtverkeer_var2</f>
        <v>0.31265274416433253</v>
      </c>
      <c r="K9" s="15"/>
      <c r="P9" s="14"/>
      <c r="S9" s="8" t="s">
        <v>106</v>
      </c>
      <c r="T9" s="8" t="s">
        <v>107</v>
      </c>
      <c r="U9" s="8">
        <v>1</v>
      </c>
      <c r="V9" s="8">
        <v>0</v>
      </c>
      <c r="W9" s="8">
        <v>1</v>
      </c>
      <c r="X9" s="8" t="str">
        <f>IF(wegbreedte_variant_2-rabatstrook_var2/2&lt;VLOOKUP(T9,kritische_breedtes[],2,FALSE),"rood",IF(wegbreedte_variant_2-rabatstrook_var2/2&lt;VLOOKUP(T9,kritische_breedtes[],3,FALSE),"geel","groen"))</f>
        <v>rood</v>
      </c>
      <c r="Y9">
        <f>$Y$4*tab2_duofietsers_var2*tab2_vrachtverkeer_var2*(1-tab2_duofietsers_var2)+$Y$4*(1-tab2_duofietsers_var2)*tab2_vrachtverkeer_var2*tab2_duofietsers_var2</f>
        <v>0.26216791764705877</v>
      </c>
      <c r="Z9" s="15"/>
      <c r="AC9" s="14"/>
      <c r="AH9" s="15"/>
      <c r="AJ9" s="14"/>
      <c r="AM9" s="8" t="s">
        <v>108</v>
      </c>
      <c r="AN9">
        <f>$AN$4*tab2_vrachtverkeer_var2*tab2_duofietsers_var2</f>
        <v>7.4092908496732016E-4</v>
      </c>
      <c r="AO9" s="15"/>
      <c r="AW9" s="8" t="s">
        <v>109</v>
      </c>
      <c r="AX9" s="21">
        <f>tab2_vrachtverkeer_var2*AX4</f>
        <v>3.055555555555556E-4</v>
      </c>
      <c r="AY9" s="21">
        <f>tab2_vrachtverkeer_var2*AY4</f>
        <v>2.4999999999999995E-4</v>
      </c>
    </row>
    <row r="10" spans="1:56" ht="14.5">
      <c r="A10" s="14"/>
      <c r="K10" s="15"/>
      <c r="P10" s="14"/>
      <c r="S10" s="8" t="s">
        <v>110</v>
      </c>
      <c r="T10" s="8" t="s">
        <v>111</v>
      </c>
      <c r="U10" s="8">
        <v>1</v>
      </c>
      <c r="V10" s="8">
        <v>1</v>
      </c>
      <c r="W10" s="8">
        <v>0</v>
      </c>
      <c r="X10" s="8" t="str">
        <f>IF(wegbreedte_variant_2-rabatstrook_var2/2&lt;VLOOKUP(T10,kritische_breedtes[],2,FALSE),"rood",IF(wegbreedte_variant_2-rabatstrook_var2/2&lt;VLOOKUP(T10,kritische_breedtes[],3,FALSE),"geel","groen"))</f>
        <v>rood</v>
      </c>
      <c r="Y10">
        <f>$Y$4*tab2_duofietsers_var2*(1-tab2_vrachtverkeer_var2)*tab2_duofietsers_var2</f>
        <v>0.71367933137254891</v>
      </c>
      <c r="Z10" s="15"/>
      <c r="AC10" s="14"/>
      <c r="AH10" s="15"/>
      <c r="AJ10" s="14"/>
      <c r="AO10" s="15"/>
    </row>
    <row r="11" spans="1:56" ht="14.5">
      <c r="A11" s="14"/>
      <c r="K11" s="15"/>
      <c r="P11" s="14"/>
      <c r="S11" s="8" t="s">
        <v>112</v>
      </c>
      <c r="T11" s="8" t="s">
        <v>113</v>
      </c>
      <c r="U11" s="8">
        <v>1</v>
      </c>
      <c r="V11" s="8">
        <v>0</v>
      </c>
      <c r="W11" s="8">
        <v>1</v>
      </c>
      <c r="X11" s="8" t="str">
        <f>IF(wegbreedte_variant_2-rabatstrook_var2/2&lt;VLOOKUP(T11,kritische_breedtes[],2,FALSE),"rood",IF(wegbreedte_variant_2-rabatstrook_var2/2&lt;VLOOKUP(T11,kritische_breedtes[],3,FALSE),"geel","groen"))</f>
        <v>rood</v>
      </c>
      <c r="Y11">
        <f>$Y$4*tab2_duofietsers_var2*tab2_vrachtverkeer_var2*tab2_duofietsers_var2</f>
        <v>1.4564884313725488E-2</v>
      </c>
      <c r="Z11" s="15"/>
      <c r="AC11" s="14"/>
      <c r="AH11" s="15"/>
      <c r="AJ11" s="14"/>
      <c r="AO11" s="15"/>
    </row>
    <row r="12" spans="1:56" ht="15" thickBot="1">
      <c r="A12" s="14"/>
      <c r="K12" s="15"/>
      <c r="P12" s="14"/>
      <c r="Z12" s="15"/>
      <c r="AC12" s="14"/>
      <c r="AH12" s="15"/>
      <c r="AJ12" s="14"/>
      <c r="AO12" s="15"/>
      <c r="AX12" s="10" t="s">
        <v>114</v>
      </c>
      <c r="AY12" s="10" t="s">
        <v>115</v>
      </c>
    </row>
    <row r="13" spans="1:56" ht="14.5">
      <c r="A13" s="14"/>
      <c r="K13" s="15"/>
      <c r="P13" s="14"/>
      <c r="Z13" s="15"/>
      <c r="AC13" s="14"/>
      <c r="AH13" s="15"/>
      <c r="AJ13" s="14"/>
      <c r="AO13" s="15"/>
      <c r="AW13" s="8" t="s">
        <v>116</v>
      </c>
      <c r="AX13">
        <f>SUMIF($I$6:$I$47,"geel",$J$6:$J$47)+SUMIF($X$6:$X$47,"geel",$Y$6:$Y$47)</f>
        <v>84.996863277198855</v>
      </c>
      <c r="AY13">
        <f>AX13/(periode/3600)/(weglengte/1000)</f>
        <v>84.996863277198855</v>
      </c>
    </row>
    <row r="14" spans="1:56" ht="14.5">
      <c r="A14" s="16"/>
      <c r="B14" s="17"/>
      <c r="C14" s="17"/>
      <c r="D14" s="17"/>
      <c r="E14" s="17"/>
      <c r="F14" s="17"/>
      <c r="G14" s="17"/>
      <c r="H14" s="17"/>
      <c r="I14" s="17"/>
      <c r="J14" s="17"/>
      <c r="K14" s="18"/>
      <c r="P14" s="16"/>
      <c r="Q14" s="17"/>
      <c r="R14" s="17"/>
      <c r="S14" s="17"/>
      <c r="T14" s="17"/>
      <c r="U14" s="17"/>
      <c r="V14" s="17"/>
      <c r="W14" s="17"/>
      <c r="X14" s="17"/>
      <c r="Y14" s="17"/>
      <c r="Z14" s="18"/>
      <c r="AC14" s="16"/>
      <c r="AD14" s="17"/>
      <c r="AE14" s="17"/>
      <c r="AF14" s="17"/>
      <c r="AG14" s="17"/>
      <c r="AH14" s="18"/>
      <c r="AJ14" s="16"/>
      <c r="AK14" s="17"/>
      <c r="AL14" s="17"/>
      <c r="AM14" s="17"/>
      <c r="AN14" s="17"/>
      <c r="AO14" s="18"/>
      <c r="AW14" s="8" t="s">
        <v>117</v>
      </c>
      <c r="AX14">
        <f>SUMIF($I$6:$I$47,"rood",$J$6:$J$47)+SUMIF($X$6:$X$47,"rood",$Y$6:$Y$47)</f>
        <v>32.962387589281022</v>
      </c>
      <c r="AY14">
        <f>AX14/(periode/3600)/(weglengte/1000)</f>
        <v>32.962387589281022</v>
      </c>
    </row>
    <row r="15" spans="1:56" ht="15" thickBot="1">
      <c r="AY15" s="20">
        <f>SUM(AY13:AY14)</f>
        <v>117.95925086647988</v>
      </c>
    </row>
    <row r="16" spans="1:56" ht="13" thickTop="1">
      <c r="A16" s="11"/>
      <c r="B16" s="12"/>
      <c r="C16" s="12"/>
      <c r="D16" s="12"/>
      <c r="E16" s="12"/>
      <c r="F16" s="12"/>
      <c r="G16" s="12"/>
      <c r="H16" s="12"/>
      <c r="I16" s="12"/>
      <c r="J16" s="12"/>
      <c r="K16" s="13"/>
      <c r="P16" s="11"/>
      <c r="Q16" s="12"/>
      <c r="R16" s="12"/>
      <c r="S16" s="12"/>
      <c r="T16" s="12"/>
      <c r="U16" s="12"/>
      <c r="V16" s="12"/>
      <c r="W16" s="12"/>
      <c r="X16" s="12"/>
      <c r="Y16" s="12"/>
      <c r="Z16" s="13"/>
      <c r="AC16" s="11"/>
      <c r="AD16" s="12"/>
      <c r="AE16" s="12"/>
      <c r="AF16" s="12"/>
      <c r="AG16" s="12"/>
      <c r="AH16" s="13"/>
      <c r="AJ16" s="11"/>
      <c r="AK16" s="12"/>
      <c r="AL16" s="12"/>
      <c r="AM16" s="12"/>
      <c r="AN16" s="12"/>
      <c r="AO16" s="13"/>
    </row>
    <row r="17" spans="1:55" ht="15" thickBot="1">
      <c r="A17" s="14"/>
      <c r="D17" s="10" t="s">
        <v>80</v>
      </c>
      <c r="E17" s="10"/>
      <c r="F17" s="10"/>
      <c r="G17" s="10"/>
      <c r="H17" s="10"/>
      <c r="I17" s="10"/>
      <c r="J17" s="10">
        <f>MAX(0,$AX$3*$AY$4*($AZ$3+$AZ$4)*periode+$AY$3*$AX$4*($AZ$3+$AZ$4)*periode-$Y$4-$Y$17-$Y$30)</f>
        <v>716.64383239962649</v>
      </c>
      <c r="K17" s="15"/>
      <c r="P17" s="14"/>
      <c r="S17" s="10" t="s">
        <v>80</v>
      </c>
      <c r="T17" s="10"/>
      <c r="U17" s="10"/>
      <c r="V17" s="10"/>
      <c r="W17" s="10"/>
      <c r="X17" s="10"/>
      <c r="Y17" s="10">
        <f>MAX(0,$AX$3*$AX$4*($AZ$3-$AZ$4)*$AY$4*$BC$3*periode+$AY$3*$AY$4*($AZ$3-$AZ$4)*$AX$4*$BC$3*periode-$Y$30)</f>
        <v>29.43553267973855</v>
      </c>
      <c r="Z17" s="15"/>
      <c r="AC17" s="14"/>
      <c r="AF17" s="10" t="s">
        <v>80</v>
      </c>
      <c r="AG17" s="10">
        <f>$AY$4*($AZ$3+$AZ$4)-$AN$4-$AN$17-$AN$30</f>
        <v>3.1983052987861806</v>
      </c>
      <c r="AH17" s="15"/>
      <c r="AJ17" s="14"/>
      <c r="AM17" s="10" t="s">
        <v>80</v>
      </c>
      <c r="AN17" s="10">
        <f>$AX$4*($AZ$3-$AZ$4)*$AY$4*$BC$3-$AN$30</f>
        <v>0.15352009803921568</v>
      </c>
      <c r="AO17" s="15"/>
    </row>
    <row r="18" spans="1:55" ht="14.5">
      <c r="A18" s="14"/>
      <c r="K18" s="15"/>
      <c r="P18" s="14"/>
      <c r="Z18" s="15"/>
      <c r="AC18" s="14"/>
      <c r="AH18" s="15"/>
      <c r="AJ18" s="14"/>
      <c r="AO18" s="15"/>
      <c r="AW18" s="8" t="s">
        <v>118</v>
      </c>
    </row>
    <row r="19" spans="1:55" ht="14.5">
      <c r="A19" s="14"/>
      <c r="D19" s="8" t="s">
        <v>85</v>
      </c>
      <c r="E19" s="8" t="s">
        <v>86</v>
      </c>
      <c r="F19" s="8">
        <v>1</v>
      </c>
      <c r="G19" s="8">
        <v>1</v>
      </c>
      <c r="H19" s="8">
        <v>0</v>
      </c>
      <c r="I19" t="str">
        <f>IF(wegbreedte_variant_2-rabatstrook_var2/2&lt;VLOOKUP(E19,kritische_breedtes[],2,FALSE),"rood",IF(wegbreedte_variant_2-rabatstrook_var2/2&lt;VLOOKUP(E19,kritische_breedtes[],3,FALSE),"geel","groen"))</f>
        <v>groen</v>
      </c>
      <c r="J19">
        <f>$J$17*(1-tab2_duofietsers_var2)*(1-tab2_vrachtverkeer_var2)</f>
        <v>632.07986017647056</v>
      </c>
      <c r="K19" s="15"/>
      <c r="P19" s="14"/>
      <c r="S19" s="8" t="s">
        <v>119</v>
      </c>
      <c r="T19" s="8" t="s">
        <v>120</v>
      </c>
      <c r="U19" s="8">
        <v>1</v>
      </c>
      <c r="V19" s="8">
        <v>1</v>
      </c>
      <c r="W19" s="8">
        <v>0</v>
      </c>
      <c r="X19" s="8" t="str">
        <f>IF(wegbreedte_variant_2-rabatstrook_var2/2&lt;VLOOKUP(T19,kritische_breedtes[],2,FALSE),"rood",IF(wegbreedte_variant_2-rabatstrook_var2/2&lt;VLOOKUP(T19,kritische_breedtes[],3,FALSE),"geel","groen"))</f>
        <v>geel</v>
      </c>
      <c r="Y19">
        <f>$Y$17*(1-tab2_duofietsers_var2)*(1-tab2_vrachtverkeer_var2)*(1-tab2_vrachtverkeer_var2)</f>
        <v>25.442897027058812</v>
      </c>
      <c r="Z19" s="15"/>
      <c r="AC19" s="14"/>
      <c r="AF19" s="8" t="s">
        <v>21</v>
      </c>
      <c r="AG19">
        <f>$AG$17*(1-tab2_vrachtverkeer_var2)</f>
        <v>3.1343391928104571</v>
      </c>
      <c r="AH19" s="15"/>
      <c r="AJ19" s="14"/>
      <c r="AM19" s="8" t="s">
        <v>121</v>
      </c>
      <c r="AN19">
        <f>$AN$17*(1-tab2_vrachtverkeer_var2)*(1-tab2_vrachtverkeer_var2)</f>
        <v>0.14744070215686272</v>
      </c>
      <c r="AO19" s="15"/>
    </row>
    <row r="20" spans="1:55" ht="15" thickBot="1">
      <c r="A20" s="14"/>
      <c r="D20" s="8" t="s">
        <v>91</v>
      </c>
      <c r="E20" s="8" t="s">
        <v>92</v>
      </c>
      <c r="F20" s="8">
        <v>1</v>
      </c>
      <c r="G20" s="8">
        <v>1</v>
      </c>
      <c r="H20" s="8">
        <v>0</v>
      </c>
      <c r="I20" t="str">
        <f>IF(wegbreedte_variant_2-rabatstrook_var2/2&lt;VLOOKUP(E20,kritische_breedtes[],2,FALSE),"rood",IF(wegbreedte_variant_2-rabatstrook_var2/2&lt;VLOOKUP(E20,kritische_breedtes[],3,FALSE),"geel","groen"))</f>
        <v>groen</v>
      </c>
      <c r="J20">
        <f>$J$17*tab2_duofietsers_var2*(1-tab2_vrachtverkeer_var2)</f>
        <v>70.231095575163394</v>
      </c>
      <c r="K20" s="15"/>
      <c r="P20" s="14"/>
      <c r="S20" s="8" t="s">
        <v>122</v>
      </c>
      <c r="T20" s="8" t="s">
        <v>123</v>
      </c>
      <c r="U20" s="8">
        <v>1</v>
      </c>
      <c r="V20" s="8">
        <v>1</v>
      </c>
      <c r="W20" s="8">
        <v>1</v>
      </c>
      <c r="X20" s="8" t="str">
        <f>IF(wegbreedte_variant_2-rabatstrook_var2/2&lt;VLOOKUP(T20,kritische_breedtes[],2,FALSE),"rood",IF(wegbreedte_variant_2-rabatstrook_var2/2&lt;VLOOKUP(T20,kritische_breedtes[],3,FALSE),"geel","groen"))</f>
        <v>rood</v>
      </c>
      <c r="Y20">
        <f>$Y$17*(1-tab2_duofietsers_var2)*(1-tab2_vrachtverkeer_var2)*tab2_vrachtverkeer_var2+$Y$17*(1-tab2_duofietsers_var2)*tab2_vrachtverkeer_var2*(1-tab2_vrachtverkeer_var2)</f>
        <v>1.0384855929411763</v>
      </c>
      <c r="Z20" s="15"/>
      <c r="AC20" s="14"/>
      <c r="AF20" s="8" t="s">
        <v>95</v>
      </c>
      <c r="AG20">
        <f>$AG$17*tab2_vrachtverkeer_var2</f>
        <v>6.3966105975723608E-2</v>
      </c>
      <c r="AH20" s="15"/>
      <c r="AJ20" s="14"/>
      <c r="AM20" s="8" t="s">
        <v>124</v>
      </c>
      <c r="AN20">
        <f>$AN$17*(1-tab2_vrachtverkeer_var2)*tab2_vrachtverkeer_var2+$AN$17*tab2_vrachtverkeer_var2*(1-tab2_vrachtverkeer_var2)</f>
        <v>6.0179878431372551E-3</v>
      </c>
      <c r="AO20" s="15"/>
      <c r="AX20" s="10" t="s">
        <v>125</v>
      </c>
      <c r="AY20" s="10"/>
      <c r="AZ20" s="10" t="s">
        <v>177</v>
      </c>
      <c r="BA20" s="10" t="s">
        <v>178</v>
      </c>
    </row>
    <row r="21" spans="1:55" ht="14.5">
      <c r="A21" s="14"/>
      <c r="D21" s="8" t="s">
        <v>98</v>
      </c>
      <c r="E21" s="8" t="s">
        <v>99</v>
      </c>
      <c r="F21" s="8">
        <v>1</v>
      </c>
      <c r="G21" s="8">
        <v>0</v>
      </c>
      <c r="H21" s="8">
        <v>1</v>
      </c>
      <c r="I21" t="str">
        <f>IF(wegbreedte_variant_2-rabatstrook_var2/2&lt;VLOOKUP(E21,kritische_breedtes[],2,FALSE),"rood",IF(wegbreedte_variant_2-rabatstrook_var2/2&lt;VLOOKUP(E21,kritische_breedtes[],3,FALSE),"geel","groen"))</f>
        <v>groen</v>
      </c>
      <c r="J21">
        <f>$J$17*(1-tab2_duofietsers_var2)*tab2_vrachtverkeer_var2</f>
        <v>12.899588983193278</v>
      </c>
      <c r="K21" s="15"/>
      <c r="P21" s="14"/>
      <c r="S21" s="8" t="s">
        <v>126</v>
      </c>
      <c r="T21" s="8" t="s">
        <v>127</v>
      </c>
      <c r="U21" s="8">
        <v>1</v>
      </c>
      <c r="V21" s="8">
        <v>0</v>
      </c>
      <c r="W21" s="8">
        <v>1</v>
      </c>
      <c r="X21" s="8" t="str">
        <f>IF(wegbreedte_variant_2-rabatstrook_var2/2&lt;VLOOKUP(T21,kritische_breedtes[],2,FALSE),"rood",IF(wegbreedte_variant_2-rabatstrook_var2/2&lt;VLOOKUP(T21,kritische_breedtes[],3,FALSE),"geel","groen"))</f>
        <v>rood</v>
      </c>
      <c r="Y21">
        <f>$Y$17*(1-tab2_duofietsers_var2)*tab2_vrachtverkeer_var2*tab2_vrachtverkeer_var2</f>
        <v>1.059679176470588E-2</v>
      </c>
      <c r="Z21" s="15"/>
      <c r="AC21" s="14"/>
      <c r="AH21" s="15"/>
      <c r="AJ21" s="14"/>
      <c r="AM21" s="8" t="s">
        <v>128</v>
      </c>
      <c r="AN21">
        <f>$AN$17*tab2_vrachtverkeer_var2*tab2_vrachtverkeer_var2</f>
        <v>6.1408039215686273E-5</v>
      </c>
      <c r="AO21" s="15"/>
      <c r="AW21" s="8" t="s">
        <v>129</v>
      </c>
      <c r="AX21">
        <v>7.3929999999999998</v>
      </c>
      <c r="AY21">
        <v>1</v>
      </c>
      <c r="AZ21">
        <v>6.4450000000000003</v>
      </c>
      <c r="BA21">
        <v>7.34</v>
      </c>
      <c r="BC21">
        <f>AX21*AY21</f>
        <v>7.3929999999999998</v>
      </c>
    </row>
    <row r="22" spans="1:55" ht="14.5">
      <c r="A22" s="14"/>
      <c r="D22" s="8" t="s">
        <v>104</v>
      </c>
      <c r="E22" s="8" t="s">
        <v>105</v>
      </c>
      <c r="F22" s="8">
        <v>1</v>
      </c>
      <c r="G22" s="8">
        <v>0</v>
      </c>
      <c r="H22" s="8">
        <v>1</v>
      </c>
      <c r="I22" t="str">
        <f>IF(wegbreedte_variant_2-rabatstrook_var2/2&lt;VLOOKUP(E22,kritische_breedtes[],2,FALSE),"rood",IF(wegbreedte_variant_2-rabatstrook_var2/2&lt;VLOOKUP(E22,kritische_breedtes[],3,FALSE),"geel","groen"))</f>
        <v>geel</v>
      </c>
      <c r="J22">
        <f>$J$17*tab2_duofietsers_var2*tab2_vrachtverkeer_var2</f>
        <v>1.433287664799253</v>
      </c>
      <c r="K22" s="15"/>
      <c r="P22" s="14"/>
      <c r="S22" s="8" t="s">
        <v>130</v>
      </c>
      <c r="T22" s="8" t="s">
        <v>131</v>
      </c>
      <c r="U22" s="8">
        <v>1</v>
      </c>
      <c r="V22" s="8">
        <v>1</v>
      </c>
      <c r="W22" s="8">
        <v>0</v>
      </c>
      <c r="X22" s="8" t="str">
        <f>IF(wegbreedte_variant_2-rabatstrook_var2/2&lt;VLOOKUP(T22,kritische_breedtes[],2,FALSE),"rood",IF(wegbreedte_variant_2-rabatstrook_var2/2&lt;VLOOKUP(T22,kritische_breedtes[],3,FALSE),"geel","groen"))</f>
        <v>rood</v>
      </c>
      <c r="Y22">
        <f>$Y$17*tab2_duofietsers_var2*(1-tab2_vrachtverkeer_var2)*(1-tab2_vrachtverkeer_var2)</f>
        <v>2.8269885585620904</v>
      </c>
      <c r="Z22" s="15"/>
      <c r="AC22" s="14"/>
      <c r="AH22" s="15"/>
      <c r="AJ22" s="14"/>
      <c r="AO22" s="15"/>
      <c r="AW22" s="8" t="s">
        <v>179</v>
      </c>
      <c r="AX22">
        <v>2E-3</v>
      </c>
      <c r="AY22">
        <f>tab2_i_fiets_var2-250</f>
        <v>-50</v>
      </c>
      <c r="AZ22">
        <v>2.0000000000000001E-4</v>
      </c>
      <c r="BA22">
        <v>3.2000000000000002E-3</v>
      </c>
      <c r="BC22">
        <f>MAX(BC23,MIN(0.5,AX22*AY22))</f>
        <v>-0.1</v>
      </c>
    </row>
    <row r="23" spans="1:55" ht="14.5">
      <c r="A23" s="14"/>
      <c r="K23" s="15"/>
      <c r="P23" s="14"/>
      <c r="S23" s="8" t="s">
        <v>133</v>
      </c>
      <c r="T23" s="8" t="s">
        <v>134</v>
      </c>
      <c r="U23" s="8">
        <v>1</v>
      </c>
      <c r="V23" s="8">
        <v>1</v>
      </c>
      <c r="W23" s="8">
        <v>1</v>
      </c>
      <c r="X23" s="8" t="str">
        <f>IF(wegbreedte_variant_2-rabatstrook_var2/2&lt;VLOOKUP(T23,kritische_breedtes[],2,FALSE),"rood",IF(wegbreedte_variant_2-rabatstrook_var2/2&lt;VLOOKUP(T23,kritische_breedtes[],3,FALSE),"geel","groen"))</f>
        <v>rood</v>
      </c>
      <c r="Y23">
        <f>$Y$17*tab2_duofietsers_var2*(1-tab2_vrachtverkeer_var2)*tab2_vrachtverkeer_var2+$Y$17*tab2_duofietsers_var2*tab2_vrachtverkeer_var2*(1-tab2_vrachtverkeer_var2)</f>
        <v>0.11538728810457513</v>
      </c>
      <c r="Z23" s="15"/>
      <c r="AC23" s="14"/>
      <c r="AH23" s="15"/>
      <c r="AJ23" s="14"/>
      <c r="AO23" s="15"/>
      <c r="AW23" s="8" t="s">
        <v>135</v>
      </c>
      <c r="AX23">
        <v>-0.19500000000000001</v>
      </c>
      <c r="AY23">
        <f>AY15/tab2_i_fiets_var2</f>
        <v>0.58979625433239935</v>
      </c>
      <c r="AZ23">
        <v>-0.27800000000000002</v>
      </c>
      <c r="BA23">
        <v>-0.112</v>
      </c>
      <c r="BC23">
        <f t="shared" ref="BC23" si="0">AX23*AY23</f>
        <v>-0.11501026959481787</v>
      </c>
    </row>
    <row r="24" spans="1:55" ht="14.5">
      <c r="A24" s="14"/>
      <c r="K24" s="15"/>
      <c r="P24" s="14"/>
      <c r="S24" s="8" t="s">
        <v>136</v>
      </c>
      <c r="T24" s="8" t="s">
        <v>137</v>
      </c>
      <c r="U24" s="8">
        <v>1</v>
      </c>
      <c r="V24" s="8">
        <v>0</v>
      </c>
      <c r="W24" s="8">
        <v>1</v>
      </c>
      <c r="X24" s="8" t="str">
        <f>IF(wegbreedte_variant_2-rabatstrook_var2/2&lt;VLOOKUP(T24,kritische_breedtes[],2,FALSE),"rood",IF(wegbreedte_variant_2-rabatstrook_var2/2&lt;VLOOKUP(T24,kritische_breedtes[],3,FALSE),"geel","groen"))</f>
        <v>rood</v>
      </c>
      <c r="Y24">
        <f>$Y$17*tab2_duofietsers_var2*tab2_vrachtverkeer_var2*tab2_vrachtverkeer_var2</f>
        <v>1.1774213071895421E-3</v>
      </c>
      <c r="Z24" s="15"/>
      <c r="AC24" s="14"/>
      <c r="AH24" s="15"/>
      <c r="AJ24" s="14"/>
      <c r="AO24" s="15"/>
    </row>
    <row r="25" spans="1:55" ht="14.5">
      <c r="A25" s="14"/>
      <c r="K25" s="15"/>
      <c r="P25" s="14"/>
      <c r="Z25" s="15"/>
      <c r="AC25" s="14"/>
      <c r="AH25" s="15"/>
      <c r="AJ25" s="14"/>
      <c r="AO25" s="15"/>
      <c r="AW25" s="8" t="s">
        <v>138</v>
      </c>
      <c r="AY25" s="22">
        <f>MIN(10,MAX(0,SUM(BC21:BC23)))</f>
        <v>7.1779897304051818</v>
      </c>
      <c r="AZ25" s="22">
        <f>MIN(10,MAX(0,SUMPRODUCT(AZ$21:AZ$23,$AY$21:$AY$23)))</f>
        <v>6.2710366412955931</v>
      </c>
      <c r="BA25" s="22">
        <f>MIN(10,MAX(0,SUMPRODUCT(BA$21:BA$23,$AY$21:$AY$23)))</f>
        <v>7.1139428195147714</v>
      </c>
    </row>
    <row r="26" spans="1:55" ht="14.5">
      <c r="A26" s="14"/>
      <c r="K26" s="15"/>
      <c r="P26" s="14"/>
      <c r="Z26" s="15"/>
      <c r="AC26" s="14"/>
      <c r="AH26" s="15"/>
      <c r="AJ26" s="14"/>
      <c r="AO26" s="15"/>
      <c r="AW26" s="8" t="s">
        <v>139</v>
      </c>
      <c r="AY26" s="9">
        <f>MIN(1,MAX(0,-1.79966+0.31481*AY25))</f>
        <v>0.46004294702885518</v>
      </c>
      <c r="AZ26" s="9">
        <f t="shared" ref="AZ26:BA26" si="1">MIN(1,MAX(0,-1.79966+0.31481*AZ25))</f>
        <v>0.17452504504626543</v>
      </c>
      <c r="BA26" s="9">
        <f t="shared" si="1"/>
        <v>0.43988033901144497</v>
      </c>
    </row>
    <row r="27" spans="1:55" ht="14.5">
      <c r="A27" s="16"/>
      <c r="B27" s="17"/>
      <c r="C27" s="17"/>
      <c r="D27" s="17"/>
      <c r="E27" s="17"/>
      <c r="F27" s="17"/>
      <c r="G27" s="17"/>
      <c r="H27" s="17"/>
      <c r="I27" s="17"/>
      <c r="J27" s="17"/>
      <c r="K27" s="18"/>
      <c r="P27" s="16"/>
      <c r="Q27" s="17"/>
      <c r="R27" s="17"/>
      <c r="S27" s="17"/>
      <c r="T27" s="17"/>
      <c r="U27" s="17"/>
      <c r="V27" s="17"/>
      <c r="W27" s="17"/>
      <c r="X27" s="17"/>
      <c r="Y27" s="17"/>
      <c r="Z27" s="18"/>
      <c r="AC27" s="16"/>
      <c r="AD27" s="17"/>
      <c r="AE27" s="17"/>
      <c r="AF27" s="17"/>
      <c r="AG27" s="17"/>
      <c r="AH27" s="18"/>
      <c r="AJ27" s="16"/>
      <c r="AK27" s="17"/>
      <c r="AL27" s="17"/>
      <c r="AM27" s="17"/>
      <c r="AN27" s="17"/>
      <c r="AO27" s="18"/>
      <c r="AW27" s="8" t="s">
        <v>140</v>
      </c>
      <c r="AY27" s="9">
        <f>MIN(1,MAX(0,1.34775-0.17604*AY25))</f>
        <v>8.4136687859471815E-2</v>
      </c>
      <c r="AZ27" s="9">
        <f t="shared" ref="AZ27:BA27" si="2">MIN(1,MAX(0,1.34775-0.17604*AZ25))</f>
        <v>0.24379670966632383</v>
      </c>
      <c r="BA27" s="9">
        <f t="shared" si="2"/>
        <v>9.5411506052619721E-2</v>
      </c>
    </row>
    <row r="28" spans="1:55"/>
    <row r="29" spans="1:55" ht="14.5">
      <c r="A29" s="11"/>
      <c r="B29" s="12"/>
      <c r="C29" s="12"/>
      <c r="D29" s="12"/>
      <c r="E29" s="12"/>
      <c r="F29" s="12"/>
      <c r="G29" s="12"/>
      <c r="H29" s="12"/>
      <c r="I29" s="12"/>
      <c r="J29" s="12"/>
      <c r="K29" s="13"/>
      <c r="P29" s="11"/>
      <c r="Q29" s="12"/>
      <c r="R29" s="12"/>
      <c r="S29" s="12"/>
      <c r="T29" s="12"/>
      <c r="U29" s="12"/>
      <c r="V29" s="12"/>
      <c r="W29" s="12"/>
      <c r="X29" s="12"/>
      <c r="Y29" s="12"/>
      <c r="Z29" s="13"/>
      <c r="AC29" s="11"/>
      <c r="AD29" s="12"/>
      <c r="AE29" s="12"/>
      <c r="AF29" s="12"/>
      <c r="AG29" s="12"/>
      <c r="AH29" s="13"/>
      <c r="AJ29" s="11"/>
      <c r="AK29" s="12"/>
      <c r="AL29" s="12"/>
      <c r="AM29" s="12"/>
      <c r="AN29" s="12"/>
      <c r="AO29" s="13"/>
      <c r="AW29" s="8" t="s">
        <v>60</v>
      </c>
      <c r="AY29" s="22">
        <f>(7-BC21-BC22)/AX23</f>
        <v>1.5025641025641017</v>
      </c>
    </row>
    <row r="30" spans="1:55" ht="15" thickBot="1">
      <c r="A30" s="14"/>
      <c r="D30" s="10" t="s">
        <v>80</v>
      </c>
      <c r="E30" s="10"/>
      <c r="F30" s="10"/>
      <c r="G30" s="10"/>
      <c r="H30" s="10"/>
      <c r="I30" s="10"/>
      <c r="J30" s="10">
        <f>MAX(0,$AX$4*$AY$4*($AZ$4+$AZ$4)*periode-$Y$17-$Y$30)</f>
        <v>98.039682539682559</v>
      </c>
      <c r="K30" s="15"/>
      <c r="P30" s="14"/>
      <c r="S30" s="10" t="s">
        <v>80</v>
      </c>
      <c r="T30" s="10"/>
      <c r="U30" s="10"/>
      <c r="V30" s="10"/>
      <c r="W30" s="10"/>
      <c r="X30" s="10"/>
      <c r="Y30" s="10">
        <f>$AX$3*$AX$4*($AZ$3-$AZ$4)*$AY$4*$BC$3*$AY$3*$BC$3*periode+$AY$3*$AY$4*($AZ$3-$AZ$4)*$AX$4*$BC$3*$AX$3*$BC$3*periode</f>
        <v>13.953356209150321</v>
      </c>
      <c r="Z30" s="15"/>
      <c r="AC30" s="14"/>
      <c r="AF30" s="10" t="s">
        <v>80</v>
      </c>
      <c r="AG30" s="10">
        <f>$AY$3*($AZ$3+$AZ$3)-$AN$4-$AN$30</f>
        <v>9.566111111111109</v>
      </c>
      <c r="AH30" s="15"/>
      <c r="AJ30" s="14"/>
      <c r="AM30" s="10" t="s">
        <v>80</v>
      </c>
      <c r="AN30" s="10">
        <f>$AX$4*($AZ$3-$AZ$4)*$AY$4*$BC$3*$AY$3*$BC$3</f>
        <v>6.3424346405228718E-2</v>
      </c>
      <c r="AO30" s="15"/>
      <c r="AW30" s="8"/>
    </row>
    <row r="31" spans="1:55">
      <c r="A31" s="14"/>
      <c r="K31" s="15"/>
      <c r="P31" s="14"/>
      <c r="Z31" s="15"/>
      <c r="AC31" s="14"/>
      <c r="AH31" s="15"/>
      <c r="AJ31" s="14"/>
      <c r="AO31" s="15"/>
    </row>
    <row r="32" spans="1:55" ht="14.5">
      <c r="A32" s="14"/>
      <c r="D32" s="8" t="s">
        <v>141</v>
      </c>
      <c r="E32" s="8" t="s">
        <v>142</v>
      </c>
      <c r="F32" s="8"/>
      <c r="G32" s="8"/>
      <c r="H32" s="8"/>
      <c r="J32">
        <f>$J$30*(1-tab2_vrachtverkeer_var2)*(1-tab2_vrachtverkeer_var2)</f>
        <v>94.157311111111127</v>
      </c>
      <c r="K32" s="15"/>
      <c r="P32" s="14"/>
      <c r="S32" s="8" t="s">
        <v>143</v>
      </c>
      <c r="T32" s="8" t="s">
        <v>144</v>
      </c>
      <c r="U32" s="8">
        <v>1</v>
      </c>
      <c r="V32" s="8">
        <v>1</v>
      </c>
      <c r="W32" s="8">
        <v>0</v>
      </c>
      <c r="X32" s="8" t="str">
        <f>IF(wegbreedte_variant_2-rabatstrook_var2/2&lt;VLOOKUP(T32,kritische_breedtes[],2,FALSE),"rood",IF(wegbreedte_variant_2-rabatstrook_var2/2&lt;VLOOKUP(T32,kritische_breedtes[],3,FALSE),"geel","groen"))</f>
        <v>rood</v>
      </c>
      <c r="Y32">
        <f>$Y$30*(1-tab2_duofietsers_var2)*(1-tab2_vrachtverkeer_var2)*(1-tab2_vrachtverkeer_var2)*(1-tab2_duofietsers_var2)</f>
        <v>10.854650675647054</v>
      </c>
      <c r="Z32" s="15"/>
      <c r="AC32" s="14"/>
      <c r="AF32" s="8" t="s">
        <v>20</v>
      </c>
      <c r="AG32">
        <f>$AG$30*(1-tab2_duofietsers_var2)</f>
        <v>8.6094999999999988</v>
      </c>
      <c r="AH32" s="15"/>
      <c r="AJ32" s="14"/>
      <c r="AM32" s="8" t="s">
        <v>145</v>
      </c>
      <c r="AN32">
        <f>$AN$30*(1-tab2_vrachtverkeer_var2)*(1-tab2_vrachtverkeer_var2)*(1-tab2_duofietsers_var2)</f>
        <v>5.4821468058823493E-2</v>
      </c>
      <c r="AO32" s="15"/>
    </row>
    <row r="33" spans="1:41" ht="14.5">
      <c r="A33" s="14"/>
      <c r="D33" s="8" t="s">
        <v>146</v>
      </c>
      <c r="E33" s="8" t="s">
        <v>147</v>
      </c>
      <c r="F33" s="8"/>
      <c r="G33" s="8"/>
      <c r="H33" s="8"/>
      <c r="J33">
        <f>$J$30*tab2_vrachtverkeer_var2*(1-tab2_vrachtverkeer_var2)+$J$30*(1-tab2_vrachtverkeer_var2)*tab2_vrachtverkeer_var2</f>
        <v>3.8431555555555565</v>
      </c>
      <c r="K33" s="15"/>
      <c r="P33" s="14"/>
      <c r="S33" s="8" t="s">
        <v>148</v>
      </c>
      <c r="T33" s="8" t="s">
        <v>149</v>
      </c>
      <c r="U33" s="8">
        <v>1</v>
      </c>
      <c r="V33" s="8">
        <v>1</v>
      </c>
      <c r="W33" s="8">
        <v>0</v>
      </c>
      <c r="X33" s="8" t="str">
        <f>IF(wegbreedte_variant_2-rabatstrook_var2/2&lt;VLOOKUP(T33,kritische_breedtes[],2,FALSE),"rood",IF(wegbreedte_variant_2-rabatstrook_var2/2&lt;VLOOKUP(T33,kritische_breedtes[],3,FALSE),"geel","groen"))</f>
        <v>rood</v>
      </c>
      <c r="Y33">
        <f>$Y$30*(1-tab2_duofietsers_var2)*(1-tab2_vrachtverkeer_var2)*(1-tab2_vrachtverkeer_var2)*tab2_duofietsers_var2+$Y$30*tab2_duofietsers_var2*(1-tab2_vrachtverkeer_var2)*(1-tab2_vrachtverkeer_var2)*(1-tab2_duofietsers_var2)</f>
        <v>2.4121445945882343</v>
      </c>
      <c r="Z33" s="15"/>
      <c r="AC33" s="14"/>
      <c r="AF33" s="8" t="s">
        <v>150</v>
      </c>
      <c r="AG33">
        <f>$AG$30*tab2_duofietsers_var2</f>
        <v>0.95661111111111097</v>
      </c>
      <c r="AH33" s="15"/>
      <c r="AJ33" s="14"/>
      <c r="AM33" s="8" t="s">
        <v>151</v>
      </c>
      <c r="AN33">
        <f>$AN$30*(1-tab2_vrachtverkeer_var2)*(1-tab2_vrachtverkeer_var2)*tab2_duofietsers_var2</f>
        <v>6.0912742287581659E-3</v>
      </c>
      <c r="AO33" s="15"/>
    </row>
    <row r="34" spans="1:41" ht="14.5">
      <c r="A34" s="14"/>
      <c r="D34" s="8" t="s">
        <v>128</v>
      </c>
      <c r="E34" s="8" t="s">
        <v>152</v>
      </c>
      <c r="F34" s="8"/>
      <c r="G34" s="8"/>
      <c r="H34" s="8"/>
      <c r="J34">
        <f>$J$30*tab2_vrachtverkeer_var2*tab2_vrachtverkeer_var2</f>
        <v>3.9215873015873023E-2</v>
      </c>
      <c r="K34" s="15"/>
      <c r="P34" s="14"/>
      <c r="S34" s="8" t="s">
        <v>153</v>
      </c>
      <c r="T34" s="8" t="s">
        <v>154</v>
      </c>
      <c r="U34" s="8">
        <v>1</v>
      </c>
      <c r="V34" s="8">
        <v>1</v>
      </c>
      <c r="W34" s="8">
        <v>1</v>
      </c>
      <c r="X34" s="8" t="str">
        <f>IF(wegbreedte_variant_2-rabatstrook_var2/2&lt;VLOOKUP(T34,kritische_breedtes[],2,FALSE),"rood",IF(wegbreedte_variant_2-rabatstrook_var2/2&lt;VLOOKUP(T34,kritische_breedtes[],3,FALSE),"geel","groen"))</f>
        <v>rood</v>
      </c>
      <c r="Y34">
        <f>$Y$30*(1-tab2_duofietsers_var2)*(1-tab2_vrachtverkeer_var2)*tab2_vrachtverkeer_var2*(1-tab2_duofietsers_var2)+$Y$30*(1-tab2_duofietsers_var2)*tab2_vrachtverkeer_var2*(1-tab2_vrachtverkeer_var2)*(1-tab2_duofietsers_var2)</f>
        <v>0.443046966352941</v>
      </c>
      <c r="Z34" s="15"/>
      <c r="AC34" s="14"/>
      <c r="AH34" s="15"/>
      <c r="AJ34" s="14"/>
      <c r="AM34" s="8" t="s">
        <v>155</v>
      </c>
      <c r="AN34">
        <f>$AN$30*(1-tab2_vrachtverkeer_var2)*tab2_vrachtverkeer_var2*(1-tab2_duofietsers_var2)+$AN$30*tab2_vrachtverkeer_var2*(1-tab2_vrachtverkeer_var2)*(1-tab2_duofietsers_var2)</f>
        <v>2.2376109411764689E-3</v>
      </c>
      <c r="AO34" s="15"/>
    </row>
    <row r="35" spans="1:41" ht="14.5">
      <c r="A35" s="14"/>
      <c r="K35" s="15"/>
      <c r="P35" s="14"/>
      <c r="S35" s="8" t="s">
        <v>156</v>
      </c>
      <c r="T35" s="8" t="s">
        <v>157</v>
      </c>
      <c r="U35" s="8">
        <v>1</v>
      </c>
      <c r="V35" s="8">
        <v>1</v>
      </c>
      <c r="W35" s="8">
        <v>1</v>
      </c>
      <c r="X35" s="8" t="str">
        <f>IF(wegbreedte_variant_2-rabatstrook_var2/2&lt;VLOOKUP(T35,kritische_breedtes[],2,FALSE),"rood",IF(wegbreedte_variant_2-rabatstrook_var2/2&lt;VLOOKUP(T35,kritische_breedtes[],3,FALSE),"geel","groen"))</f>
        <v>rood</v>
      </c>
      <c r="Y35">
        <f>$Y$30*tab2_duofietsers_var2*(1-tab2_vrachtverkeer_var2)*tab2_vrachtverkeer_var2*(1-tab2_duofietsers_var2)+$Y$30*tab2_duofietsers_var2*tab2_vrachtverkeer_var2*(1-tab2_vrachtverkeer_var2)*(1-tab2_duofietsers_var2)+$Y$30*(1-tab2_duofietsers_var2)*(1-tab2_vrachtverkeer_var2)*tab2_vrachtverkeer_var2*tab2_duofietsers_var2+$Y$30*(1-tab2_duofietsers_var2)*tab2_vrachtverkeer_var2*(1-tab2_vrachtverkeer_var2)*tab2_duofietsers_var2</f>
        <v>9.8454881411764672E-2</v>
      </c>
      <c r="Z35" s="15"/>
      <c r="AC35" s="14"/>
      <c r="AH35" s="15"/>
      <c r="AJ35" s="14"/>
      <c r="AM35" s="8" t="s">
        <v>158</v>
      </c>
      <c r="AN35">
        <f>$AN$30*(1-tab2_vrachtverkeer_var2)*tab2_vrachtverkeer_var2*tab2_duofietsers_var2+$AN$30*tab2_vrachtverkeer_var2*(1-tab2_vrachtverkeer_var2)*tab2_duofietsers_var2</f>
        <v>2.4862343790849658E-4</v>
      </c>
      <c r="AO35" s="15"/>
    </row>
    <row r="36" spans="1:41" ht="14.5">
      <c r="A36" s="14"/>
      <c r="K36" s="15"/>
      <c r="P36" s="14"/>
      <c r="S36" s="8" t="s">
        <v>159</v>
      </c>
      <c r="T36" s="8" t="s">
        <v>160</v>
      </c>
      <c r="U36" s="8">
        <v>1</v>
      </c>
      <c r="V36" s="8">
        <v>0</v>
      </c>
      <c r="W36" s="8">
        <v>1</v>
      </c>
      <c r="X36" s="8" t="str">
        <f>IF(wegbreedte_variant_2-rabatstrook_var2/2&lt;VLOOKUP(T36,kritische_breedtes[],2,FALSE),"rood",IF(wegbreedte_variant_2-rabatstrook_var2/2&lt;VLOOKUP(T36,kritische_breedtes[],3,FALSE),"geel","groen"))</f>
        <v>rood</v>
      </c>
      <c r="Y36">
        <f>$Y$30*(1-tab2_duofietsers_var2)*tab2_vrachtverkeer_var2*tab2_vrachtverkeer_var2*(1-tab2_duofietsers_var2)</f>
        <v>4.5208874117647043E-3</v>
      </c>
      <c r="Z36" s="15"/>
      <c r="AC36" s="14"/>
      <c r="AH36" s="15"/>
      <c r="AJ36" s="14"/>
      <c r="AM36" s="8" t="s">
        <v>161</v>
      </c>
      <c r="AN36">
        <f>$AN$30*tab2_vrachtverkeer_var2*tab2_vrachtverkeer_var2*(1-tab2_duofietsers_var2)</f>
        <v>2.2832764705882341E-5</v>
      </c>
      <c r="AO36" s="15"/>
    </row>
    <row r="37" spans="1:41" ht="14.5">
      <c r="A37" s="14"/>
      <c r="K37" s="15"/>
      <c r="P37" s="14"/>
      <c r="S37" s="8" t="s">
        <v>162</v>
      </c>
      <c r="T37" s="8" t="s">
        <v>163</v>
      </c>
      <c r="U37" s="8">
        <v>1</v>
      </c>
      <c r="V37" s="8">
        <v>0</v>
      </c>
      <c r="W37" s="8">
        <v>1</v>
      </c>
      <c r="X37" s="8" t="str">
        <f>IF(wegbreedte_variant_2-rabatstrook_var2/2&lt;VLOOKUP(T37,kritische_breedtes[],2,FALSE),"rood",IF(wegbreedte_variant_2-rabatstrook_var2/2&lt;VLOOKUP(T37,kritische_breedtes[],3,FALSE),"geel","groen"))</f>
        <v>rood</v>
      </c>
      <c r="Y37">
        <f>$Y$30*(1-tab2_duofietsers_var2)*tab2_vrachtverkeer_var2*tab2_vrachtverkeer_var2*tab2_duofietsers_var2+$Y$30*tab2_duofietsers_var2*tab2_vrachtverkeer_var2*tab2_vrachtverkeer_var2*(1-tab2_duofietsers_var2)</f>
        <v>1.0046416470588233E-3</v>
      </c>
      <c r="Z37" s="15"/>
      <c r="AC37" s="14"/>
      <c r="AH37" s="15"/>
      <c r="AJ37" s="14"/>
      <c r="AM37" s="8" t="s">
        <v>164</v>
      </c>
      <c r="AN37">
        <f>$AN$30*tab2_vrachtverkeer_var2*tab2_vrachtverkeer_var2*tab2_duofietsers_var2</f>
        <v>2.536973856209149E-6</v>
      </c>
      <c r="AO37" s="15"/>
    </row>
    <row r="38" spans="1:41" ht="14.5">
      <c r="A38" s="14"/>
      <c r="K38" s="15"/>
      <c r="P38" s="14"/>
      <c r="S38" s="8" t="s">
        <v>165</v>
      </c>
      <c r="T38" s="8" t="s">
        <v>166</v>
      </c>
      <c r="U38" s="8">
        <v>1</v>
      </c>
      <c r="V38" s="8">
        <v>1</v>
      </c>
      <c r="W38" s="8">
        <v>0</v>
      </c>
      <c r="X38" s="8" t="str">
        <f>IF(wegbreedte_variant_2-rabatstrook_var2/2&lt;VLOOKUP(T38,kritische_breedtes[],2,FALSE),"rood",IF(wegbreedte_variant_2-rabatstrook_var2/2&lt;VLOOKUP(T38,kritische_breedtes[],3,FALSE),"geel","groen"))</f>
        <v>rood</v>
      </c>
      <c r="Y38">
        <f>$Y$30*tab2_duofietsers_var2*(1-tab2_vrachtverkeer_var2)*(1-tab2_vrachtverkeer_var2)*tab2_duofietsers_var2</f>
        <v>0.13400803303267969</v>
      </c>
      <c r="Z38" s="15"/>
      <c r="AC38" s="14"/>
      <c r="AH38" s="15"/>
      <c r="AJ38" s="14"/>
      <c r="AO38" s="15"/>
    </row>
    <row r="39" spans="1:41" ht="14.5">
      <c r="A39" s="14"/>
      <c r="K39" s="15"/>
      <c r="P39" s="14"/>
      <c r="S39" s="8" t="s">
        <v>167</v>
      </c>
      <c r="T39" s="8" t="s">
        <v>168</v>
      </c>
      <c r="U39" s="8">
        <v>1</v>
      </c>
      <c r="V39" s="8">
        <v>1</v>
      </c>
      <c r="W39" s="8">
        <v>1</v>
      </c>
      <c r="X39" s="8" t="str">
        <f>IF(wegbreedte_variant_2-rabatstrook_var2/2&lt;VLOOKUP(T39,kritische_breedtes[],2,FALSE),"rood",IF(wegbreedte_variant_2-rabatstrook_var2/2&lt;VLOOKUP(T39,kritische_breedtes[],3,FALSE),"geel","groen"))</f>
        <v>rood</v>
      </c>
      <c r="Y39">
        <f>$Y$30*tab2_duofietsers_var2*(1-tab2_vrachtverkeer_var2)*tab2_vrachtverkeer_var2*tab2_duofietsers_var2+$Y$30*tab2_duofietsers_var2*tab2_vrachtverkeer_var2*(1-tab2_vrachtverkeer_var2)*tab2_duofietsers_var2</f>
        <v>5.4697156339869272E-3</v>
      </c>
      <c r="Z39" s="15"/>
      <c r="AC39" s="14"/>
      <c r="AH39" s="15"/>
      <c r="AJ39" s="14"/>
      <c r="AO39" s="15"/>
    </row>
    <row r="40" spans="1:41" ht="14.5">
      <c r="A40" s="16"/>
      <c r="B40" s="17"/>
      <c r="C40" s="17"/>
      <c r="D40" s="17"/>
      <c r="E40" s="17"/>
      <c r="F40" s="17"/>
      <c r="G40" s="17"/>
      <c r="H40" s="17"/>
      <c r="I40" s="17"/>
      <c r="J40" s="17"/>
      <c r="K40" s="18"/>
      <c r="P40" s="14"/>
      <c r="S40" s="8" t="s">
        <v>169</v>
      </c>
      <c r="T40" s="8" t="s">
        <v>170</v>
      </c>
      <c r="U40" s="8">
        <v>1</v>
      </c>
      <c r="V40" s="8">
        <v>0</v>
      </c>
      <c r="W40" s="8">
        <v>1</v>
      </c>
      <c r="X40" s="8" t="str">
        <f>IF(wegbreedte_variant_2-rabatstrook_var2/2&lt;VLOOKUP(T40,kritische_breedtes[],2,FALSE),"rood",IF(wegbreedte_variant_2-rabatstrook_var2/2&lt;VLOOKUP(T40,kritische_breedtes[],3,FALSE),"geel","groen"))</f>
        <v>rood</v>
      </c>
      <c r="Y40">
        <f>$Y$30*tab2_duofietsers_var2*tab2_vrachtverkeer_var2*tab2_vrachtverkeer_var2*tab2_duofietsers_var2</f>
        <v>5.5813424836601298E-5</v>
      </c>
      <c r="Z40" s="15"/>
      <c r="AC40" s="14"/>
      <c r="AH40" s="15"/>
      <c r="AJ40" s="14"/>
      <c r="AO40" s="15"/>
    </row>
    <row r="41" spans="1:41">
      <c r="P41" s="16"/>
      <c r="Q41" s="17"/>
      <c r="R41" s="17"/>
      <c r="S41" s="17"/>
      <c r="T41" s="17"/>
      <c r="U41" s="17"/>
      <c r="V41" s="17"/>
      <c r="W41" s="17"/>
      <c r="X41" s="17"/>
      <c r="Y41" s="17"/>
      <c r="Z41" s="18"/>
      <c r="AC41" s="16"/>
      <c r="AD41" s="17"/>
      <c r="AE41" s="17"/>
      <c r="AF41" s="17"/>
      <c r="AG41" s="17"/>
      <c r="AH41" s="18"/>
      <c r="AJ41" s="16"/>
      <c r="AK41" s="17"/>
      <c r="AL41" s="17"/>
      <c r="AM41" s="17"/>
      <c r="AN41" s="17"/>
      <c r="AO41" s="18"/>
    </row>
    <row r="42" spans="1:41">
      <c r="A42" s="11"/>
      <c r="B42" s="12"/>
      <c r="C42" s="12"/>
      <c r="D42" s="12"/>
      <c r="E42" s="12"/>
      <c r="F42" s="12"/>
      <c r="G42" s="12"/>
      <c r="H42" s="12"/>
      <c r="I42" s="12"/>
      <c r="J42" s="12"/>
      <c r="K42" s="13"/>
    </row>
    <row r="43" spans="1:41" ht="15" thickBot="1">
      <c r="A43" s="14"/>
      <c r="D43" s="10" t="s">
        <v>80</v>
      </c>
      <c r="E43" s="10"/>
      <c r="F43" s="10"/>
      <c r="G43" s="10"/>
      <c r="H43" s="10"/>
      <c r="I43" s="10"/>
      <c r="J43" s="10">
        <f>$AX$3*$AY$3*($AZ$3+$AZ$3)*periode-$Y$4-$Y$30</f>
        <v>1013.2222222222222</v>
      </c>
      <c r="K43" s="15"/>
    </row>
    <row r="44" spans="1:41">
      <c r="A44" s="14"/>
      <c r="K44" s="15"/>
    </row>
    <row r="45" spans="1:41" ht="14.5">
      <c r="A45" s="14"/>
      <c r="D45" s="8" t="s">
        <v>171</v>
      </c>
      <c r="E45" s="8" t="s">
        <v>172</v>
      </c>
      <c r="F45" s="8"/>
      <c r="G45" s="8"/>
      <c r="H45" s="8"/>
      <c r="J45">
        <f>$J$43*(1-tab2_duofietsers_var2)*(1-tab2_duofietsers_var2)</f>
        <v>820.71</v>
      </c>
      <c r="K45" s="15"/>
    </row>
    <row r="46" spans="1:41" ht="14.5">
      <c r="A46" s="14"/>
      <c r="D46" s="8" t="s">
        <v>173</v>
      </c>
      <c r="E46" s="8" t="s">
        <v>174</v>
      </c>
      <c r="F46" s="8"/>
      <c r="G46" s="8"/>
      <c r="H46" s="8"/>
      <c r="J46">
        <f>$J$43*tab2_duofietsers_var2*(1-tab2_duofietsers_var2)+$J$43*(1-tab2_duofietsers_var2)*tab2_duofietsers_var2</f>
        <v>182.38</v>
      </c>
      <c r="K46" s="15"/>
    </row>
    <row r="47" spans="1:41" ht="14.5">
      <c r="A47" s="14"/>
      <c r="D47" s="8" t="s">
        <v>175</v>
      </c>
      <c r="E47" s="8" t="s">
        <v>176</v>
      </c>
      <c r="F47" s="8"/>
      <c r="G47" s="8"/>
      <c r="H47" s="8"/>
      <c r="J47">
        <f>$J$43*tab2_duofietsers_var2*tab2_duofietsers_var2</f>
        <v>10.132222222222223</v>
      </c>
      <c r="K47" s="15"/>
    </row>
    <row r="48" spans="1:41">
      <c r="A48" s="14"/>
      <c r="K48" s="15"/>
    </row>
    <row r="49" spans="1:11">
      <c r="A49" s="14"/>
      <c r="K49" s="15"/>
    </row>
    <row r="50" spans="1:11">
      <c r="A50" s="14"/>
      <c r="K50" s="15"/>
    </row>
    <row r="51" spans="1:11">
      <c r="A51" s="14"/>
      <c r="K51" s="15"/>
    </row>
    <row r="52" spans="1:11">
      <c r="A52" s="14"/>
      <c r="K52" s="15"/>
    </row>
    <row r="53" spans="1:11">
      <c r="A53" s="16"/>
      <c r="B53" s="17"/>
      <c r="C53" s="17"/>
      <c r="D53" s="17"/>
      <c r="E53" s="17"/>
      <c r="F53" s="17"/>
      <c r="G53" s="17"/>
      <c r="H53" s="17"/>
      <c r="I53" s="17"/>
      <c r="J53" s="17"/>
      <c r="K53" s="18"/>
    </row>
    <row r="54" spans="1:11"/>
  </sheetData>
  <sheetProtection algorithmName="SHA-512" hashValue="BUqbgpPEqVYpSdT02bJ+GnPffQ3r1wtS9lwTpByaxrlG9SQpbyr74QDG/KYcMfHor7wFsfATIIhE0KSdw0p/0w==" saltValue="QBBUQ4tzqIO8ca5W/cnorg==" spinCount="100000"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2996B-BB06-4290-9E43-EC6D9050B3B0}">
  <sheetPr codeName="Blad6"/>
  <dimension ref="A1:AL55"/>
  <sheetViews>
    <sheetView workbookViewId="0">
      <selection activeCell="C2" sqref="C2:AD2"/>
    </sheetView>
  </sheetViews>
  <sheetFormatPr defaultRowHeight="12.5"/>
  <cols>
    <col min="1" max="1" width="26.1796875" bestFit="1" customWidth="1"/>
    <col min="35" max="35" width="17.81640625" bestFit="1" customWidth="1"/>
    <col min="36" max="37" width="14.54296875" bestFit="1" customWidth="1"/>
    <col min="38" max="38" width="20.7265625" bestFit="1" customWidth="1"/>
  </cols>
  <sheetData>
    <row r="1" spans="1:38">
      <c r="A1" t="s">
        <v>180</v>
      </c>
      <c r="C1">
        <v>300</v>
      </c>
      <c r="D1">
        <v>380</v>
      </c>
      <c r="E1">
        <v>390</v>
      </c>
      <c r="F1">
        <v>459.99999999999994</v>
      </c>
      <c r="G1">
        <v>470</v>
      </c>
      <c r="H1">
        <v>480</v>
      </c>
      <c r="I1">
        <v>509.99999999999994</v>
      </c>
      <c r="J1">
        <v>550</v>
      </c>
      <c r="K1">
        <v>560</v>
      </c>
      <c r="L1">
        <v>590</v>
      </c>
      <c r="M1">
        <v>600</v>
      </c>
      <c r="N1">
        <v>630</v>
      </c>
      <c r="O1">
        <v>640</v>
      </c>
      <c r="P1">
        <v>669.99999999999989</v>
      </c>
      <c r="Q1">
        <v>680</v>
      </c>
      <c r="R1">
        <v>710</v>
      </c>
      <c r="S1">
        <v>720</v>
      </c>
      <c r="T1">
        <v>749.99999999999989</v>
      </c>
      <c r="U1">
        <v>760</v>
      </c>
      <c r="V1">
        <v>770</v>
      </c>
      <c r="W1">
        <v>800</v>
      </c>
      <c r="X1">
        <v>840</v>
      </c>
      <c r="Y1">
        <v>850</v>
      </c>
      <c r="Z1">
        <v>920.00000000000011</v>
      </c>
      <c r="AA1">
        <v>930</v>
      </c>
      <c r="AB1">
        <v>1000.0000000000002</v>
      </c>
      <c r="AC1">
        <v>1010</v>
      </c>
      <c r="AD1">
        <v>1090</v>
      </c>
      <c r="AJ1" t="s">
        <v>75</v>
      </c>
      <c r="AK1" t="s">
        <v>76</v>
      </c>
      <c r="AL1" t="s">
        <v>181</v>
      </c>
    </row>
    <row r="2" spans="1:38">
      <c r="A2" t="s">
        <v>182</v>
      </c>
      <c r="C2">
        <f t="shared" ref="C2:AD2" si="0">C1+2*tab2_rabatstrook_var1/2</f>
        <v>300</v>
      </c>
      <c r="D2">
        <f t="shared" si="0"/>
        <v>380</v>
      </c>
      <c r="E2">
        <f t="shared" si="0"/>
        <v>390</v>
      </c>
      <c r="F2">
        <f t="shared" si="0"/>
        <v>459.99999999999994</v>
      </c>
      <c r="G2">
        <f t="shared" si="0"/>
        <v>470</v>
      </c>
      <c r="H2">
        <f t="shared" si="0"/>
        <v>480</v>
      </c>
      <c r="I2">
        <f t="shared" si="0"/>
        <v>509.99999999999994</v>
      </c>
      <c r="J2">
        <f t="shared" si="0"/>
        <v>550</v>
      </c>
      <c r="K2">
        <f t="shared" si="0"/>
        <v>560</v>
      </c>
      <c r="L2">
        <f t="shared" si="0"/>
        <v>590</v>
      </c>
      <c r="M2">
        <f t="shared" si="0"/>
        <v>600</v>
      </c>
      <c r="N2">
        <f t="shared" si="0"/>
        <v>630</v>
      </c>
      <c r="O2">
        <f t="shared" si="0"/>
        <v>640</v>
      </c>
      <c r="P2">
        <f t="shared" si="0"/>
        <v>669.99999999999989</v>
      </c>
      <c r="Q2">
        <f t="shared" si="0"/>
        <v>680</v>
      </c>
      <c r="R2">
        <f t="shared" si="0"/>
        <v>710</v>
      </c>
      <c r="S2">
        <f t="shared" si="0"/>
        <v>720</v>
      </c>
      <c r="T2">
        <f t="shared" si="0"/>
        <v>749.99999999999989</v>
      </c>
      <c r="U2">
        <f t="shared" si="0"/>
        <v>760</v>
      </c>
      <c r="V2">
        <f t="shared" si="0"/>
        <v>770</v>
      </c>
      <c r="W2">
        <f t="shared" si="0"/>
        <v>800</v>
      </c>
      <c r="X2">
        <f t="shared" si="0"/>
        <v>840</v>
      </c>
      <c r="Y2">
        <f t="shared" si="0"/>
        <v>850</v>
      </c>
      <c r="Z2">
        <f t="shared" si="0"/>
        <v>920.00000000000011</v>
      </c>
      <c r="AA2">
        <f t="shared" si="0"/>
        <v>930</v>
      </c>
      <c r="AB2">
        <f t="shared" si="0"/>
        <v>1000.0000000000002</v>
      </c>
      <c r="AC2">
        <f t="shared" si="0"/>
        <v>1010</v>
      </c>
      <c r="AD2">
        <f t="shared" si="0"/>
        <v>1090</v>
      </c>
    </row>
    <row r="4" spans="1:38">
      <c r="A4" t="s">
        <v>183</v>
      </c>
      <c r="B4">
        <f>MAX(0,i_fiets_sec_ri1_var1*i_auto_sec_ri1_var1*(t_fiets_var1-t_auto_var1)*periode+i_fiets_sec_ri2_var1*i_auto_sec_ri2_var1*(t_fiets_var1-t_auto_var1)*periode-B16-B24-B32)</f>
        <v>96.369291433239965</v>
      </c>
      <c r="AI4" t="s">
        <v>20</v>
      </c>
      <c r="AJ4">
        <f>i_fiets_var1/3600*fiets_ri1_var1</f>
        <v>1.5277777777777779E-2</v>
      </c>
      <c r="AK4">
        <f>i_fiets_var1/3600*fiets_ri2_var1</f>
        <v>1.2499999999999997E-2</v>
      </c>
      <c r="AL4">
        <f>1000/(v_fiets_var1/3.6)</f>
        <v>200</v>
      </c>
    </row>
    <row r="5" spans="1:38">
      <c r="A5" t="s">
        <v>86</v>
      </c>
      <c r="B5">
        <f>B4*(1-duofietsers_var1)*(1-vrachtverkeer_var1)</f>
        <v>84.997715044117655</v>
      </c>
      <c r="C5" t="str">
        <f>IF(C$1&lt;VLOOKUP($A5,kritische_breedtes[#All],2,FALSE),"rood",IF(C$1&lt;VLOOKUP($A5,kritische_breedtes[#All],3,FALSE),"geel","groen"))</f>
        <v>geel</v>
      </c>
      <c r="D5" t="str">
        <f>IF(D$1&lt;VLOOKUP($A5,kritische_breedtes[#All],2,FALSE),"rood",IF(D$1&lt;VLOOKUP($A5,kritische_breedtes[#All],3,FALSE),"geel","groen"))</f>
        <v>geel</v>
      </c>
      <c r="E5" t="str">
        <f>IF(E$1&lt;VLOOKUP($A5,kritische_breedtes[#All],2,FALSE),"rood",IF(E$1&lt;VLOOKUP($A5,kritische_breedtes[#All],3,FALSE),"geel","groen"))</f>
        <v>groen</v>
      </c>
      <c r="F5" t="str">
        <f>IF(F$1&lt;VLOOKUP($A5,kritische_breedtes[#All],2,FALSE),"rood",IF(F$1&lt;VLOOKUP($A5,kritische_breedtes[#All],3,FALSE),"geel","groen"))</f>
        <v>groen</v>
      </c>
      <c r="G5" t="str">
        <f>IF(G$1&lt;VLOOKUP($A5,kritische_breedtes[#All],2,FALSE),"rood",IF(G$1&lt;VLOOKUP($A5,kritische_breedtes[#All],3,FALSE),"geel","groen"))</f>
        <v>groen</v>
      </c>
      <c r="H5" t="str">
        <f>IF(H$1&lt;VLOOKUP($A5,kritische_breedtes[#All],2,FALSE),"rood",IF(H$1&lt;VLOOKUP($A5,kritische_breedtes[#All],3,FALSE),"geel","groen"))</f>
        <v>groen</v>
      </c>
      <c r="I5" t="str">
        <f>IF(I$1&lt;VLOOKUP($A5,kritische_breedtes[#All],2,FALSE),"rood",IF(I$1&lt;VLOOKUP($A5,kritische_breedtes[#All],3,FALSE),"geel","groen"))</f>
        <v>groen</v>
      </c>
      <c r="J5" t="str">
        <f>IF(J$1&lt;VLOOKUP($A5,kritische_breedtes[#All],2,FALSE),"rood",IF(J$1&lt;VLOOKUP($A5,kritische_breedtes[#All],3,FALSE),"geel","groen"))</f>
        <v>groen</v>
      </c>
      <c r="K5" t="str">
        <f>IF(K$1&lt;VLOOKUP($A5,kritische_breedtes[#All],2,FALSE),"rood",IF(K$1&lt;VLOOKUP($A5,kritische_breedtes[#All],3,FALSE),"geel","groen"))</f>
        <v>groen</v>
      </c>
      <c r="L5" t="str">
        <f>IF(L$1&lt;VLOOKUP($A5,kritische_breedtes[#All],2,FALSE),"rood",IF(L$1&lt;VLOOKUP($A5,kritische_breedtes[#All],3,FALSE),"geel","groen"))</f>
        <v>groen</v>
      </c>
      <c r="M5" t="str">
        <f>IF(M$1&lt;VLOOKUP($A5,kritische_breedtes[#All],2,FALSE),"rood",IF(M$1&lt;VLOOKUP($A5,kritische_breedtes[#All],3,FALSE),"geel","groen"))</f>
        <v>groen</v>
      </c>
      <c r="N5" t="str">
        <f>IF(N$1&lt;VLOOKUP($A5,kritische_breedtes[#All],2,FALSE),"rood",IF(N$1&lt;VLOOKUP($A5,kritische_breedtes[#All],3,FALSE),"geel","groen"))</f>
        <v>groen</v>
      </c>
      <c r="O5" t="str">
        <f>IF(O$1&lt;VLOOKUP($A5,kritische_breedtes[#All],2,FALSE),"rood",IF(O$1&lt;VLOOKUP($A5,kritische_breedtes[#All],3,FALSE),"geel","groen"))</f>
        <v>groen</v>
      </c>
      <c r="P5" t="str">
        <f>IF(P$1&lt;VLOOKUP($A5,kritische_breedtes[#All],2,FALSE),"rood",IF(P$1&lt;VLOOKUP($A5,kritische_breedtes[#All],3,FALSE),"geel","groen"))</f>
        <v>groen</v>
      </c>
      <c r="Q5" t="str">
        <f>IF(Q$1&lt;VLOOKUP($A5,kritische_breedtes[#All],2,FALSE),"rood",IF(Q$1&lt;VLOOKUP($A5,kritische_breedtes[#All],3,FALSE),"geel","groen"))</f>
        <v>groen</v>
      </c>
      <c r="R5" t="str">
        <f>IF(R$1&lt;VLOOKUP($A5,kritische_breedtes[#All],2,FALSE),"rood",IF(R$1&lt;VLOOKUP($A5,kritische_breedtes[#All],3,FALSE),"geel","groen"))</f>
        <v>groen</v>
      </c>
      <c r="S5" t="str">
        <f>IF(S$1&lt;VLOOKUP($A5,kritische_breedtes[#All],2,FALSE),"rood",IF(S$1&lt;VLOOKUP($A5,kritische_breedtes[#All],3,FALSE),"geel","groen"))</f>
        <v>groen</v>
      </c>
      <c r="T5" t="str">
        <f>IF(T$1&lt;VLOOKUP($A5,kritische_breedtes[#All],2,FALSE),"rood",IF(T$1&lt;VLOOKUP($A5,kritische_breedtes[#All],3,FALSE),"geel","groen"))</f>
        <v>groen</v>
      </c>
      <c r="U5" t="str">
        <f>IF(U$1&lt;VLOOKUP($A5,kritische_breedtes[#All],2,FALSE),"rood",IF(U$1&lt;VLOOKUP($A5,kritische_breedtes[#All],3,FALSE),"geel","groen"))</f>
        <v>groen</v>
      </c>
      <c r="V5" t="str">
        <f>IF(V$1&lt;VLOOKUP($A5,kritische_breedtes[#All],2,FALSE),"rood",IF(V$1&lt;VLOOKUP($A5,kritische_breedtes[#All],3,FALSE),"geel","groen"))</f>
        <v>groen</v>
      </c>
      <c r="W5" t="str">
        <f>IF(W$1&lt;VLOOKUP($A5,kritische_breedtes[#All],2,FALSE),"rood",IF(W$1&lt;VLOOKUP($A5,kritische_breedtes[#All],3,FALSE),"geel","groen"))</f>
        <v>groen</v>
      </c>
      <c r="X5" t="str">
        <f>IF(X$1&lt;VLOOKUP($A5,kritische_breedtes[#All],2,FALSE),"rood",IF(X$1&lt;VLOOKUP($A5,kritische_breedtes[#All],3,FALSE),"geel","groen"))</f>
        <v>groen</v>
      </c>
      <c r="Y5" t="str">
        <f>IF(Y$1&lt;VLOOKUP($A5,kritische_breedtes[#All],2,FALSE),"rood",IF(Y$1&lt;VLOOKUP($A5,kritische_breedtes[#All],3,FALSE),"geel","groen"))</f>
        <v>groen</v>
      </c>
      <c r="Z5" t="str">
        <f>IF(Z$1&lt;VLOOKUP($A5,kritische_breedtes[#All],2,FALSE),"rood",IF(Z$1&lt;VLOOKUP($A5,kritische_breedtes[#All],3,FALSE),"geel","groen"))</f>
        <v>groen</v>
      </c>
      <c r="AA5" t="str">
        <f>IF(AA$1&lt;VLOOKUP($A5,kritische_breedtes[#All],2,FALSE),"rood",IF(AA$1&lt;VLOOKUP($A5,kritische_breedtes[#All],3,FALSE),"geel","groen"))</f>
        <v>groen</v>
      </c>
      <c r="AB5" t="str">
        <f>IF(AB$1&lt;VLOOKUP($A5,kritische_breedtes[#All],2,FALSE),"rood",IF(AB$1&lt;VLOOKUP($A5,kritische_breedtes[#All],3,FALSE),"geel","groen"))</f>
        <v>groen</v>
      </c>
      <c r="AC5" t="str">
        <f>IF(AC$1&lt;VLOOKUP($A5,kritische_breedtes[#All],2,FALSE),"rood",IF(AC$1&lt;VLOOKUP($A5,kritische_breedtes[#All],3,FALSE),"geel","groen"))</f>
        <v>groen</v>
      </c>
      <c r="AD5" t="str">
        <f>IF(AD$1&lt;VLOOKUP($A5,kritische_breedtes[#All],2,FALSE),"rood",IF(AD$1&lt;VLOOKUP($A5,kritische_breedtes[#All],3,FALSE),"geel","groen"))</f>
        <v>groen</v>
      </c>
      <c r="AI5" t="s">
        <v>21</v>
      </c>
      <c r="AJ5">
        <f>i_auto_var1/3600*auto_ri1_var1</f>
        <v>1.5277777777777779E-2</v>
      </c>
      <c r="AK5">
        <f>i_auto_var1/3600*auto_ri2_var1</f>
        <v>1.2499999999999997E-2</v>
      </c>
      <c r="AL5">
        <f>1000/(v_auto_var1/3.6)</f>
        <v>102.85714285714286</v>
      </c>
    </row>
    <row r="6" spans="1:38">
      <c r="A6" t="s">
        <v>92</v>
      </c>
      <c r="B6">
        <f>B4*duofietsers_var1*(1-vrachtverkeer_var1)</f>
        <v>9.4441905604575158</v>
      </c>
      <c r="C6" t="str">
        <f>IF(C$1&lt;VLOOKUP($A6,kritische_breedtes[#All],2,FALSE),"rood",IF(C$1&lt;VLOOKUP($A6,kritische_breedtes[#All],3,FALSE),"geel","groen"))</f>
        <v>rood</v>
      </c>
      <c r="D6" t="str">
        <f>IF(D$1&lt;VLOOKUP($A6,kritische_breedtes[#All],2,FALSE),"rood",IF(D$1&lt;VLOOKUP($A6,kritische_breedtes[#All],3,FALSE),"geel","groen"))</f>
        <v>geel</v>
      </c>
      <c r="E6" t="str">
        <f>IF(E$1&lt;VLOOKUP($A6,kritische_breedtes[#All],2,FALSE),"rood",IF(E$1&lt;VLOOKUP($A6,kritische_breedtes[#All],3,FALSE),"geel","groen"))</f>
        <v>geel</v>
      </c>
      <c r="F6" t="str">
        <f>IF(F$1&lt;VLOOKUP($A6,kritische_breedtes[#All],2,FALSE),"rood",IF(F$1&lt;VLOOKUP($A6,kritische_breedtes[#All],3,FALSE),"geel","groen"))</f>
        <v>geel</v>
      </c>
      <c r="G6" t="str">
        <f>IF(G$1&lt;VLOOKUP($A6,kritische_breedtes[#All],2,FALSE),"rood",IF(G$1&lt;VLOOKUP($A6,kritische_breedtes[#All],3,FALSE),"geel","groen"))</f>
        <v>geel</v>
      </c>
      <c r="H6" t="str">
        <f>IF(H$1&lt;VLOOKUP($A6,kritische_breedtes[#All],2,FALSE),"rood",IF(H$1&lt;VLOOKUP($A6,kritische_breedtes[#All],3,FALSE),"geel","groen"))</f>
        <v>groen</v>
      </c>
      <c r="I6" t="str">
        <f>IF(I$1&lt;VLOOKUP($A6,kritische_breedtes[#All],2,FALSE),"rood",IF(I$1&lt;VLOOKUP($A6,kritische_breedtes[#All],3,FALSE),"geel","groen"))</f>
        <v>groen</v>
      </c>
      <c r="J6" t="str">
        <f>IF(J$1&lt;VLOOKUP($A6,kritische_breedtes[#All],2,FALSE),"rood",IF(J$1&lt;VLOOKUP($A6,kritische_breedtes[#All],3,FALSE),"geel","groen"))</f>
        <v>groen</v>
      </c>
      <c r="K6" t="str">
        <f>IF(K$1&lt;VLOOKUP($A6,kritische_breedtes[#All],2,FALSE),"rood",IF(K$1&lt;VLOOKUP($A6,kritische_breedtes[#All],3,FALSE),"geel","groen"))</f>
        <v>groen</v>
      </c>
      <c r="L6" t="str">
        <f>IF(L$1&lt;VLOOKUP($A6,kritische_breedtes[#All],2,FALSE),"rood",IF(L$1&lt;VLOOKUP($A6,kritische_breedtes[#All],3,FALSE),"geel","groen"))</f>
        <v>groen</v>
      </c>
      <c r="M6" t="str">
        <f>IF(M$1&lt;VLOOKUP($A6,kritische_breedtes[#All],2,FALSE),"rood",IF(M$1&lt;VLOOKUP($A6,kritische_breedtes[#All],3,FALSE),"geel","groen"))</f>
        <v>groen</v>
      </c>
      <c r="N6" t="str">
        <f>IF(N$1&lt;VLOOKUP($A6,kritische_breedtes[#All],2,FALSE),"rood",IF(N$1&lt;VLOOKUP($A6,kritische_breedtes[#All],3,FALSE),"geel","groen"))</f>
        <v>groen</v>
      </c>
      <c r="O6" t="str">
        <f>IF(O$1&lt;VLOOKUP($A6,kritische_breedtes[#All],2,FALSE),"rood",IF(O$1&lt;VLOOKUP($A6,kritische_breedtes[#All],3,FALSE),"geel","groen"))</f>
        <v>groen</v>
      </c>
      <c r="P6" t="str">
        <f>IF(P$1&lt;VLOOKUP($A6,kritische_breedtes[#All],2,FALSE),"rood",IF(P$1&lt;VLOOKUP($A6,kritische_breedtes[#All],3,FALSE),"geel","groen"))</f>
        <v>groen</v>
      </c>
      <c r="Q6" t="str">
        <f>IF(Q$1&lt;VLOOKUP($A6,kritische_breedtes[#All],2,FALSE),"rood",IF(Q$1&lt;VLOOKUP($A6,kritische_breedtes[#All],3,FALSE),"geel","groen"))</f>
        <v>groen</v>
      </c>
      <c r="R6" t="str">
        <f>IF(R$1&lt;VLOOKUP($A6,kritische_breedtes[#All],2,FALSE),"rood",IF(R$1&lt;VLOOKUP($A6,kritische_breedtes[#All],3,FALSE),"geel","groen"))</f>
        <v>groen</v>
      </c>
      <c r="S6" t="str">
        <f>IF(S$1&lt;VLOOKUP($A6,kritische_breedtes[#All],2,FALSE),"rood",IF(S$1&lt;VLOOKUP($A6,kritische_breedtes[#All],3,FALSE),"geel","groen"))</f>
        <v>groen</v>
      </c>
      <c r="T6" t="str">
        <f>IF(T$1&lt;VLOOKUP($A6,kritische_breedtes[#All],2,FALSE),"rood",IF(T$1&lt;VLOOKUP($A6,kritische_breedtes[#All],3,FALSE),"geel","groen"))</f>
        <v>groen</v>
      </c>
      <c r="U6" t="str">
        <f>IF(U$1&lt;VLOOKUP($A6,kritische_breedtes[#All],2,FALSE),"rood",IF(U$1&lt;VLOOKUP($A6,kritische_breedtes[#All],3,FALSE),"geel","groen"))</f>
        <v>groen</v>
      </c>
      <c r="V6" t="str">
        <f>IF(V$1&lt;VLOOKUP($A6,kritische_breedtes[#All],2,FALSE),"rood",IF(V$1&lt;VLOOKUP($A6,kritische_breedtes[#All],3,FALSE),"geel","groen"))</f>
        <v>groen</v>
      </c>
      <c r="W6" t="str">
        <f>IF(W$1&lt;VLOOKUP($A6,kritische_breedtes[#All],2,FALSE),"rood",IF(W$1&lt;VLOOKUP($A6,kritische_breedtes[#All],3,FALSE),"geel","groen"))</f>
        <v>groen</v>
      </c>
      <c r="X6" t="str">
        <f>IF(X$1&lt;VLOOKUP($A6,kritische_breedtes[#All],2,FALSE),"rood",IF(X$1&lt;VLOOKUP($A6,kritische_breedtes[#All],3,FALSE),"geel","groen"))</f>
        <v>groen</v>
      </c>
      <c r="Y6" t="str">
        <f>IF(Y$1&lt;VLOOKUP($A6,kritische_breedtes[#All],2,FALSE),"rood",IF(Y$1&lt;VLOOKUP($A6,kritische_breedtes[#All],3,FALSE),"geel","groen"))</f>
        <v>groen</v>
      </c>
      <c r="Z6" t="str">
        <f>IF(Z$1&lt;VLOOKUP($A6,kritische_breedtes[#All],2,FALSE),"rood",IF(Z$1&lt;VLOOKUP($A6,kritische_breedtes[#All],3,FALSE),"geel","groen"))</f>
        <v>groen</v>
      </c>
      <c r="AA6" t="str">
        <f>IF(AA$1&lt;VLOOKUP($A6,kritische_breedtes[#All],2,FALSE),"rood",IF(AA$1&lt;VLOOKUP($A6,kritische_breedtes[#All],3,FALSE),"geel","groen"))</f>
        <v>groen</v>
      </c>
      <c r="AB6" t="str">
        <f>IF(AB$1&lt;VLOOKUP($A6,kritische_breedtes[#All],2,FALSE),"rood",IF(AB$1&lt;VLOOKUP($A6,kritische_breedtes[#All],3,FALSE),"geel","groen"))</f>
        <v>groen</v>
      </c>
      <c r="AC6" t="str">
        <f>IF(AC$1&lt;VLOOKUP($A6,kritische_breedtes[#All],2,FALSE),"rood",IF(AC$1&lt;VLOOKUP($A6,kritische_breedtes[#All],3,FALSE),"geel","groen"))</f>
        <v>groen</v>
      </c>
      <c r="AD6" t="str">
        <f>IF(AD$1&lt;VLOOKUP($A6,kritische_breedtes[#All],2,FALSE),"rood",IF(AD$1&lt;VLOOKUP($A6,kritische_breedtes[#All],3,FALSE),"geel","groen"))</f>
        <v>groen</v>
      </c>
    </row>
    <row r="7" spans="1:38">
      <c r="A7" t="s">
        <v>99</v>
      </c>
      <c r="B7">
        <f>B4*(1-duofietsers_var1)*vrachtverkeer_var1</f>
        <v>1.7346472457983193</v>
      </c>
      <c r="C7" t="str">
        <f>IF(C$1&lt;VLOOKUP($A7,kritische_breedtes[#All],2,FALSE),"rood",IF(C$1&lt;VLOOKUP($A7,kritische_breedtes[#All],3,FALSE),"geel","groen"))</f>
        <v>rood</v>
      </c>
      <c r="D7" t="str">
        <f>IF(D$1&lt;VLOOKUP($A7,kritische_breedtes[#All],2,FALSE),"rood",IF(D$1&lt;VLOOKUP($A7,kritische_breedtes[#All],3,FALSE),"geel","groen"))</f>
        <v>geel</v>
      </c>
      <c r="E7" t="str">
        <f>IF(E$1&lt;VLOOKUP($A7,kritische_breedtes[#All],2,FALSE),"rood",IF(E$1&lt;VLOOKUP($A7,kritische_breedtes[#All],3,FALSE),"geel","groen"))</f>
        <v>geel</v>
      </c>
      <c r="F7" t="str">
        <f>IF(F$1&lt;VLOOKUP($A7,kritische_breedtes[#All],2,FALSE),"rood",IF(F$1&lt;VLOOKUP($A7,kritische_breedtes[#All],3,FALSE),"geel","groen"))</f>
        <v>geel</v>
      </c>
      <c r="G7" t="str">
        <f>IF(G$1&lt;VLOOKUP($A7,kritische_breedtes[#All],2,FALSE),"rood",IF(G$1&lt;VLOOKUP($A7,kritische_breedtes[#All],3,FALSE),"geel","groen"))</f>
        <v>groen</v>
      </c>
      <c r="H7" t="str">
        <f>IF(H$1&lt;VLOOKUP($A7,kritische_breedtes[#All],2,FALSE),"rood",IF(H$1&lt;VLOOKUP($A7,kritische_breedtes[#All],3,FALSE),"geel","groen"))</f>
        <v>groen</v>
      </c>
      <c r="I7" t="str">
        <f>IF(I$1&lt;VLOOKUP($A7,kritische_breedtes[#All],2,FALSE),"rood",IF(I$1&lt;VLOOKUP($A7,kritische_breedtes[#All],3,FALSE),"geel","groen"))</f>
        <v>groen</v>
      </c>
      <c r="J7" t="str">
        <f>IF(J$1&lt;VLOOKUP($A7,kritische_breedtes[#All],2,FALSE),"rood",IF(J$1&lt;VLOOKUP($A7,kritische_breedtes[#All],3,FALSE),"geel","groen"))</f>
        <v>groen</v>
      </c>
      <c r="K7" t="str">
        <f>IF(K$1&lt;VLOOKUP($A7,kritische_breedtes[#All],2,FALSE),"rood",IF(K$1&lt;VLOOKUP($A7,kritische_breedtes[#All],3,FALSE),"geel","groen"))</f>
        <v>groen</v>
      </c>
      <c r="L7" t="str">
        <f>IF(L$1&lt;VLOOKUP($A7,kritische_breedtes[#All],2,FALSE),"rood",IF(L$1&lt;VLOOKUP($A7,kritische_breedtes[#All],3,FALSE),"geel","groen"))</f>
        <v>groen</v>
      </c>
      <c r="M7" t="str">
        <f>IF(M$1&lt;VLOOKUP($A7,kritische_breedtes[#All],2,FALSE),"rood",IF(M$1&lt;VLOOKUP($A7,kritische_breedtes[#All],3,FALSE),"geel","groen"))</f>
        <v>groen</v>
      </c>
      <c r="N7" t="str">
        <f>IF(N$1&lt;VLOOKUP($A7,kritische_breedtes[#All],2,FALSE),"rood",IF(N$1&lt;VLOOKUP($A7,kritische_breedtes[#All],3,FALSE),"geel","groen"))</f>
        <v>groen</v>
      </c>
      <c r="O7" t="str">
        <f>IF(O$1&lt;VLOOKUP($A7,kritische_breedtes[#All],2,FALSE),"rood",IF(O$1&lt;VLOOKUP($A7,kritische_breedtes[#All],3,FALSE),"geel","groen"))</f>
        <v>groen</v>
      </c>
      <c r="P7" t="str">
        <f>IF(P$1&lt;VLOOKUP($A7,kritische_breedtes[#All],2,FALSE),"rood",IF(P$1&lt;VLOOKUP($A7,kritische_breedtes[#All],3,FALSE),"geel","groen"))</f>
        <v>groen</v>
      </c>
      <c r="Q7" t="str">
        <f>IF(Q$1&lt;VLOOKUP($A7,kritische_breedtes[#All],2,FALSE),"rood",IF(Q$1&lt;VLOOKUP($A7,kritische_breedtes[#All],3,FALSE),"geel","groen"))</f>
        <v>groen</v>
      </c>
      <c r="R7" t="str">
        <f>IF(R$1&lt;VLOOKUP($A7,kritische_breedtes[#All],2,FALSE),"rood",IF(R$1&lt;VLOOKUP($A7,kritische_breedtes[#All],3,FALSE),"geel","groen"))</f>
        <v>groen</v>
      </c>
      <c r="S7" t="str">
        <f>IF(S$1&lt;VLOOKUP($A7,kritische_breedtes[#All],2,FALSE),"rood",IF(S$1&lt;VLOOKUP($A7,kritische_breedtes[#All],3,FALSE),"geel","groen"))</f>
        <v>groen</v>
      </c>
      <c r="T7" t="str">
        <f>IF(T$1&lt;VLOOKUP($A7,kritische_breedtes[#All],2,FALSE),"rood",IF(T$1&lt;VLOOKUP($A7,kritische_breedtes[#All],3,FALSE),"geel","groen"))</f>
        <v>groen</v>
      </c>
      <c r="U7" t="str">
        <f>IF(U$1&lt;VLOOKUP($A7,kritische_breedtes[#All],2,FALSE),"rood",IF(U$1&lt;VLOOKUP($A7,kritische_breedtes[#All],3,FALSE),"geel","groen"))</f>
        <v>groen</v>
      </c>
      <c r="V7" t="str">
        <f>IF(V$1&lt;VLOOKUP($A7,kritische_breedtes[#All],2,FALSE),"rood",IF(V$1&lt;VLOOKUP($A7,kritische_breedtes[#All],3,FALSE),"geel","groen"))</f>
        <v>groen</v>
      </c>
      <c r="W7" t="str">
        <f>IF(W$1&lt;VLOOKUP($A7,kritische_breedtes[#All],2,FALSE),"rood",IF(W$1&lt;VLOOKUP($A7,kritische_breedtes[#All],3,FALSE),"geel","groen"))</f>
        <v>groen</v>
      </c>
      <c r="X7" t="str">
        <f>IF(X$1&lt;VLOOKUP($A7,kritische_breedtes[#All],2,FALSE),"rood",IF(X$1&lt;VLOOKUP($A7,kritische_breedtes[#All],3,FALSE),"geel","groen"))</f>
        <v>groen</v>
      </c>
      <c r="Y7" t="str">
        <f>IF(Y$1&lt;VLOOKUP($A7,kritische_breedtes[#All],2,FALSE),"rood",IF(Y$1&lt;VLOOKUP($A7,kritische_breedtes[#All],3,FALSE),"geel","groen"))</f>
        <v>groen</v>
      </c>
      <c r="Z7" t="str">
        <f>IF(Z$1&lt;VLOOKUP($A7,kritische_breedtes[#All],2,FALSE),"rood",IF(Z$1&lt;VLOOKUP($A7,kritische_breedtes[#All],3,FALSE),"geel","groen"))</f>
        <v>groen</v>
      </c>
      <c r="AA7" t="str">
        <f>IF(AA$1&lt;VLOOKUP($A7,kritische_breedtes[#All],2,FALSE),"rood",IF(AA$1&lt;VLOOKUP($A7,kritische_breedtes[#All],3,FALSE),"geel","groen"))</f>
        <v>groen</v>
      </c>
      <c r="AB7" t="str">
        <f>IF(AB$1&lt;VLOOKUP($A7,kritische_breedtes[#All],2,FALSE),"rood",IF(AB$1&lt;VLOOKUP($A7,kritische_breedtes[#All],3,FALSE),"geel","groen"))</f>
        <v>groen</v>
      </c>
      <c r="AC7" t="str">
        <f>IF(AC$1&lt;VLOOKUP($A7,kritische_breedtes[#All],2,FALSE),"rood",IF(AC$1&lt;VLOOKUP($A7,kritische_breedtes[#All],3,FALSE),"geel","groen"))</f>
        <v>groen</v>
      </c>
      <c r="AD7" t="str">
        <f>IF(AD$1&lt;VLOOKUP($A7,kritische_breedtes[#All],2,FALSE),"rood",IF(AD$1&lt;VLOOKUP($A7,kritische_breedtes[#All],3,FALSE),"geel","groen"))</f>
        <v>groen</v>
      </c>
    </row>
    <row r="8" spans="1:38">
      <c r="A8" t="s">
        <v>105</v>
      </c>
      <c r="B8">
        <f>B4*duofietsers_var1*vrachtverkeer_var1</f>
        <v>0.19273858286647993</v>
      </c>
      <c r="C8" t="str">
        <f>IF(C$1&lt;VLOOKUP($A8,kritische_breedtes[#All],2,FALSE),"rood",IF(C$1&lt;VLOOKUP($A8,kritische_breedtes[#All],3,FALSE),"geel","groen"))</f>
        <v>rood</v>
      </c>
      <c r="D8" t="str">
        <f>IF(D$1&lt;VLOOKUP($A8,kritische_breedtes[#All],2,FALSE),"rood",IF(D$1&lt;VLOOKUP($A8,kritische_breedtes[#All],3,FALSE),"geel","groen"))</f>
        <v>rood</v>
      </c>
      <c r="E8" t="str">
        <f>IF(E$1&lt;VLOOKUP($A8,kritische_breedtes[#All],2,FALSE),"rood",IF(E$1&lt;VLOOKUP($A8,kritische_breedtes[#All],3,FALSE),"geel","groen"))</f>
        <v>rood</v>
      </c>
      <c r="F8" t="str">
        <f>IF(F$1&lt;VLOOKUP($A8,kritische_breedtes[#All],2,FALSE),"rood",IF(F$1&lt;VLOOKUP($A8,kritische_breedtes[#All],3,FALSE),"geel","groen"))</f>
        <v>geel</v>
      </c>
      <c r="G8" t="str">
        <f>IF(G$1&lt;VLOOKUP($A8,kritische_breedtes[#All],2,FALSE),"rood",IF(G$1&lt;VLOOKUP($A8,kritische_breedtes[#All],3,FALSE),"geel","groen"))</f>
        <v>geel</v>
      </c>
      <c r="H8" t="str">
        <f>IF(H$1&lt;VLOOKUP($A8,kritische_breedtes[#All],2,FALSE),"rood",IF(H$1&lt;VLOOKUP($A8,kritische_breedtes[#All],3,FALSE),"geel","groen"))</f>
        <v>geel</v>
      </c>
      <c r="I8" t="str">
        <f>IF(I$1&lt;VLOOKUP($A8,kritische_breedtes[#All],2,FALSE),"rood",IF(I$1&lt;VLOOKUP($A8,kritische_breedtes[#All],3,FALSE),"geel","groen"))</f>
        <v>geel</v>
      </c>
      <c r="J8" t="str">
        <f>IF(J$1&lt;VLOOKUP($A8,kritische_breedtes[#All],2,FALSE),"rood",IF(J$1&lt;VLOOKUP($A8,kritische_breedtes[#All],3,FALSE),"geel","groen"))</f>
        <v>geel</v>
      </c>
      <c r="K8" t="str">
        <f>IF(K$1&lt;VLOOKUP($A8,kritische_breedtes[#All],2,FALSE),"rood",IF(K$1&lt;VLOOKUP($A8,kritische_breedtes[#All],3,FALSE),"geel","groen"))</f>
        <v>groen</v>
      </c>
      <c r="L8" t="str">
        <f>IF(L$1&lt;VLOOKUP($A8,kritische_breedtes[#All],2,FALSE),"rood",IF(L$1&lt;VLOOKUP($A8,kritische_breedtes[#All],3,FALSE),"geel","groen"))</f>
        <v>groen</v>
      </c>
      <c r="M8" t="str">
        <f>IF(M$1&lt;VLOOKUP($A8,kritische_breedtes[#All],2,FALSE),"rood",IF(M$1&lt;VLOOKUP($A8,kritische_breedtes[#All],3,FALSE),"geel","groen"))</f>
        <v>groen</v>
      </c>
      <c r="N8" t="str">
        <f>IF(N$1&lt;VLOOKUP($A8,kritische_breedtes[#All],2,FALSE),"rood",IF(N$1&lt;VLOOKUP($A8,kritische_breedtes[#All],3,FALSE),"geel","groen"))</f>
        <v>groen</v>
      </c>
      <c r="O8" t="str">
        <f>IF(O$1&lt;VLOOKUP($A8,kritische_breedtes[#All],2,FALSE),"rood",IF(O$1&lt;VLOOKUP($A8,kritische_breedtes[#All],3,FALSE),"geel","groen"))</f>
        <v>groen</v>
      </c>
      <c r="P8" t="str">
        <f>IF(P$1&lt;VLOOKUP($A8,kritische_breedtes[#All],2,FALSE),"rood",IF(P$1&lt;VLOOKUP($A8,kritische_breedtes[#All],3,FALSE),"geel","groen"))</f>
        <v>groen</v>
      </c>
      <c r="Q8" t="str">
        <f>IF(Q$1&lt;VLOOKUP($A8,kritische_breedtes[#All],2,FALSE),"rood",IF(Q$1&lt;VLOOKUP($A8,kritische_breedtes[#All],3,FALSE),"geel","groen"))</f>
        <v>groen</v>
      </c>
      <c r="R8" t="str">
        <f>IF(R$1&lt;VLOOKUP($A8,kritische_breedtes[#All],2,FALSE),"rood",IF(R$1&lt;VLOOKUP($A8,kritische_breedtes[#All],3,FALSE),"geel","groen"))</f>
        <v>groen</v>
      </c>
      <c r="S8" t="str">
        <f>IF(S$1&lt;VLOOKUP($A8,kritische_breedtes[#All],2,FALSE),"rood",IF(S$1&lt;VLOOKUP($A8,kritische_breedtes[#All],3,FALSE),"geel","groen"))</f>
        <v>groen</v>
      </c>
      <c r="T8" t="str">
        <f>IF(T$1&lt;VLOOKUP($A8,kritische_breedtes[#All],2,FALSE),"rood",IF(T$1&lt;VLOOKUP($A8,kritische_breedtes[#All],3,FALSE),"geel","groen"))</f>
        <v>groen</v>
      </c>
      <c r="U8" t="str">
        <f>IF(U$1&lt;VLOOKUP($A8,kritische_breedtes[#All],2,FALSE),"rood",IF(U$1&lt;VLOOKUP($A8,kritische_breedtes[#All],3,FALSE),"geel","groen"))</f>
        <v>groen</v>
      </c>
      <c r="V8" t="str">
        <f>IF(V$1&lt;VLOOKUP($A8,kritische_breedtes[#All],2,FALSE),"rood",IF(V$1&lt;VLOOKUP($A8,kritische_breedtes[#All],3,FALSE),"geel","groen"))</f>
        <v>groen</v>
      </c>
      <c r="W8" t="str">
        <f>IF(W$1&lt;VLOOKUP($A8,kritische_breedtes[#All],2,FALSE),"rood",IF(W$1&lt;VLOOKUP($A8,kritische_breedtes[#All],3,FALSE),"geel","groen"))</f>
        <v>groen</v>
      </c>
      <c r="X8" t="str">
        <f>IF(X$1&lt;VLOOKUP($A8,kritische_breedtes[#All],2,FALSE),"rood",IF(X$1&lt;VLOOKUP($A8,kritische_breedtes[#All],3,FALSE),"geel","groen"))</f>
        <v>groen</v>
      </c>
      <c r="Y8" t="str">
        <f>IF(Y$1&lt;VLOOKUP($A8,kritische_breedtes[#All],2,FALSE),"rood",IF(Y$1&lt;VLOOKUP($A8,kritische_breedtes[#All],3,FALSE),"geel","groen"))</f>
        <v>groen</v>
      </c>
      <c r="Z8" t="str">
        <f>IF(Z$1&lt;VLOOKUP($A8,kritische_breedtes[#All],2,FALSE),"rood",IF(Z$1&lt;VLOOKUP($A8,kritische_breedtes[#All],3,FALSE),"geel","groen"))</f>
        <v>groen</v>
      </c>
      <c r="AA8" t="str">
        <f>IF(AA$1&lt;VLOOKUP($A8,kritische_breedtes[#All],2,FALSE),"rood",IF(AA$1&lt;VLOOKUP($A8,kritische_breedtes[#All],3,FALSE),"geel","groen"))</f>
        <v>groen</v>
      </c>
      <c r="AB8" t="str">
        <f>IF(AB$1&lt;VLOOKUP($A8,kritische_breedtes[#All],2,FALSE),"rood",IF(AB$1&lt;VLOOKUP($A8,kritische_breedtes[#All],3,FALSE),"geel","groen"))</f>
        <v>groen</v>
      </c>
      <c r="AC8" t="str">
        <f>IF(AC$1&lt;VLOOKUP($A8,kritische_breedtes[#All],2,FALSE),"rood",IF(AC$1&lt;VLOOKUP($A8,kritische_breedtes[#All],3,FALSE),"geel","groen"))</f>
        <v>groen</v>
      </c>
      <c r="AD8" t="str">
        <f>IF(AD$1&lt;VLOOKUP($A8,kritische_breedtes[#All],2,FALSE),"rood",IF(AD$1&lt;VLOOKUP($A8,kritische_breedtes[#All],3,FALSE),"geel","groen"))</f>
        <v>groen</v>
      </c>
      <c r="AI8" t="s">
        <v>78</v>
      </c>
      <c r="AJ8">
        <f>(lengte_auto+lengte_fiets)/((v_auto_var1-v_fiets_var1)/3.6)+vooruitkijken</f>
        <v>11.694117647058823</v>
      </c>
    </row>
    <row r="10" spans="1:38">
      <c r="A10" t="s">
        <v>184</v>
      </c>
      <c r="B10">
        <f>MAX(0,i_fiets_sec_ri1_var1*i_auto_sec_ri2_var1*(t_fiets_var1+t_auto_var1)*periode+i_fiets_sec_ri2_var1*i_auto_sec_ri1_var1*(t_fiets_var1+t_auto_var1)*periode-B16-B24-B32)</f>
        <v>376.52802159197012</v>
      </c>
    </row>
    <row r="11" spans="1:38">
      <c r="A11" t="s">
        <v>86</v>
      </c>
      <c r="B11">
        <f>B10*(1-duofietsers_var1)*(1-vrachtverkeer_var1)</f>
        <v>332.09771504411765</v>
      </c>
      <c r="C11" t="str">
        <f>IF(C$1&lt;VLOOKUP($A11,kritische_breedtes[#All],2,FALSE),"rood",IF(C$1&lt;VLOOKUP($A11,kritische_breedtes[#All],3,FALSE),"geel","groen"))</f>
        <v>geel</v>
      </c>
      <c r="D11" t="str">
        <f>IF(D$1&lt;VLOOKUP($A11,kritische_breedtes[#All],2,FALSE),"rood",IF(D$1&lt;VLOOKUP($A11,kritische_breedtes[#All],3,FALSE),"geel","groen"))</f>
        <v>geel</v>
      </c>
      <c r="E11" t="str">
        <f>IF(E$1&lt;VLOOKUP($A11,kritische_breedtes[#All],2,FALSE),"rood",IF(E$1&lt;VLOOKUP($A11,kritische_breedtes[#All],3,FALSE),"geel","groen"))</f>
        <v>groen</v>
      </c>
      <c r="F11" t="str">
        <f>IF(F$1&lt;VLOOKUP($A11,kritische_breedtes[#All],2,FALSE),"rood",IF(F$1&lt;VLOOKUP($A11,kritische_breedtes[#All],3,FALSE),"geel","groen"))</f>
        <v>groen</v>
      </c>
      <c r="G11" t="str">
        <f>IF(G$1&lt;VLOOKUP($A11,kritische_breedtes[#All],2,FALSE),"rood",IF(G$1&lt;VLOOKUP($A11,kritische_breedtes[#All],3,FALSE),"geel","groen"))</f>
        <v>groen</v>
      </c>
      <c r="H11" t="str">
        <f>IF(H$1&lt;VLOOKUP($A11,kritische_breedtes[#All],2,FALSE),"rood",IF(H$1&lt;VLOOKUP($A11,kritische_breedtes[#All],3,FALSE),"geel","groen"))</f>
        <v>groen</v>
      </c>
      <c r="I11" t="str">
        <f>IF(I$1&lt;VLOOKUP($A11,kritische_breedtes[#All],2,FALSE),"rood",IF(I$1&lt;VLOOKUP($A11,kritische_breedtes[#All],3,FALSE),"geel","groen"))</f>
        <v>groen</v>
      </c>
      <c r="J11" t="str">
        <f>IF(J$1&lt;VLOOKUP($A11,kritische_breedtes[#All],2,FALSE),"rood",IF(J$1&lt;VLOOKUP($A11,kritische_breedtes[#All],3,FALSE),"geel","groen"))</f>
        <v>groen</v>
      </c>
      <c r="K11" t="str">
        <f>IF(K$1&lt;VLOOKUP($A11,kritische_breedtes[#All],2,FALSE),"rood",IF(K$1&lt;VLOOKUP($A11,kritische_breedtes[#All],3,FALSE),"geel","groen"))</f>
        <v>groen</v>
      </c>
      <c r="L11" t="str">
        <f>IF(L$1&lt;VLOOKUP($A11,kritische_breedtes[#All],2,FALSE),"rood",IF(L$1&lt;VLOOKUP($A11,kritische_breedtes[#All],3,FALSE),"geel","groen"))</f>
        <v>groen</v>
      </c>
      <c r="M11" t="str">
        <f>IF(M$1&lt;VLOOKUP($A11,kritische_breedtes[#All],2,FALSE),"rood",IF(M$1&lt;VLOOKUP($A11,kritische_breedtes[#All],3,FALSE),"geel","groen"))</f>
        <v>groen</v>
      </c>
      <c r="N11" t="str">
        <f>IF(N$1&lt;VLOOKUP($A11,kritische_breedtes[#All],2,FALSE),"rood",IF(N$1&lt;VLOOKUP($A11,kritische_breedtes[#All],3,FALSE),"geel","groen"))</f>
        <v>groen</v>
      </c>
      <c r="O11" t="str">
        <f>IF(O$1&lt;VLOOKUP($A11,kritische_breedtes[#All],2,FALSE),"rood",IF(O$1&lt;VLOOKUP($A11,kritische_breedtes[#All],3,FALSE),"geel","groen"))</f>
        <v>groen</v>
      </c>
      <c r="P11" t="str">
        <f>IF(P$1&lt;VLOOKUP($A11,kritische_breedtes[#All],2,FALSE),"rood",IF(P$1&lt;VLOOKUP($A11,kritische_breedtes[#All],3,FALSE),"geel","groen"))</f>
        <v>groen</v>
      </c>
      <c r="Q11" t="str">
        <f>IF(Q$1&lt;VLOOKUP($A11,kritische_breedtes[#All],2,FALSE),"rood",IF(Q$1&lt;VLOOKUP($A11,kritische_breedtes[#All],3,FALSE),"geel","groen"))</f>
        <v>groen</v>
      </c>
      <c r="R11" t="str">
        <f>IF(R$1&lt;VLOOKUP($A11,kritische_breedtes[#All],2,FALSE),"rood",IF(R$1&lt;VLOOKUP($A11,kritische_breedtes[#All],3,FALSE),"geel","groen"))</f>
        <v>groen</v>
      </c>
      <c r="S11" t="str">
        <f>IF(S$1&lt;VLOOKUP($A11,kritische_breedtes[#All],2,FALSE),"rood",IF(S$1&lt;VLOOKUP($A11,kritische_breedtes[#All],3,FALSE),"geel","groen"))</f>
        <v>groen</v>
      </c>
      <c r="T11" t="str">
        <f>IF(T$1&lt;VLOOKUP($A11,kritische_breedtes[#All],2,FALSE),"rood",IF(T$1&lt;VLOOKUP($A11,kritische_breedtes[#All],3,FALSE),"geel","groen"))</f>
        <v>groen</v>
      </c>
      <c r="U11" t="str">
        <f>IF(U$1&lt;VLOOKUP($A11,kritische_breedtes[#All],2,FALSE),"rood",IF(U$1&lt;VLOOKUP($A11,kritische_breedtes[#All],3,FALSE),"geel","groen"))</f>
        <v>groen</v>
      </c>
      <c r="V11" t="str">
        <f>IF(V$1&lt;VLOOKUP($A11,kritische_breedtes[#All],2,FALSE),"rood",IF(V$1&lt;VLOOKUP($A11,kritische_breedtes[#All],3,FALSE),"geel","groen"))</f>
        <v>groen</v>
      </c>
      <c r="W11" t="str">
        <f>IF(W$1&lt;VLOOKUP($A11,kritische_breedtes[#All],2,FALSE),"rood",IF(W$1&lt;VLOOKUP($A11,kritische_breedtes[#All],3,FALSE),"geel","groen"))</f>
        <v>groen</v>
      </c>
      <c r="X11" t="str">
        <f>IF(X$1&lt;VLOOKUP($A11,kritische_breedtes[#All],2,FALSE),"rood",IF(X$1&lt;VLOOKUP($A11,kritische_breedtes[#All],3,FALSE),"geel","groen"))</f>
        <v>groen</v>
      </c>
      <c r="Y11" t="str">
        <f>IF(Y$1&lt;VLOOKUP($A11,kritische_breedtes[#All],2,FALSE),"rood",IF(Y$1&lt;VLOOKUP($A11,kritische_breedtes[#All],3,FALSE),"geel","groen"))</f>
        <v>groen</v>
      </c>
      <c r="Z11" t="str">
        <f>IF(Z$1&lt;VLOOKUP($A11,kritische_breedtes[#All],2,FALSE),"rood",IF(Z$1&lt;VLOOKUP($A11,kritische_breedtes[#All],3,FALSE),"geel","groen"))</f>
        <v>groen</v>
      </c>
      <c r="AA11" t="str">
        <f>IF(AA$1&lt;VLOOKUP($A11,kritische_breedtes[#All],2,FALSE),"rood",IF(AA$1&lt;VLOOKUP($A11,kritische_breedtes[#All],3,FALSE),"geel","groen"))</f>
        <v>groen</v>
      </c>
      <c r="AB11" t="str">
        <f>IF(AB$1&lt;VLOOKUP($A11,kritische_breedtes[#All],2,FALSE),"rood",IF(AB$1&lt;VLOOKUP($A11,kritische_breedtes[#All],3,FALSE),"geel","groen"))</f>
        <v>groen</v>
      </c>
      <c r="AC11" t="str">
        <f>IF(AC$1&lt;VLOOKUP($A11,kritische_breedtes[#All],2,FALSE),"rood",IF(AC$1&lt;VLOOKUP($A11,kritische_breedtes[#All],3,FALSE),"geel","groen"))</f>
        <v>groen</v>
      </c>
      <c r="AD11" t="str">
        <f>IF(AD$1&lt;VLOOKUP($A11,kritische_breedtes[#All],2,FALSE),"rood",IF(AD$1&lt;VLOOKUP($A11,kritische_breedtes[#All],3,FALSE),"geel","groen"))</f>
        <v>groen</v>
      </c>
    </row>
    <row r="12" spans="1:38">
      <c r="A12" t="s">
        <v>92</v>
      </c>
      <c r="B12">
        <f>B10*duofietsers_var1*(1-vrachtverkeer_var1)</f>
        <v>36.899746116013077</v>
      </c>
      <c r="C12" t="str">
        <f>IF(C$1&lt;VLOOKUP($A12,kritische_breedtes[#All],2,FALSE),"rood",IF(C$1&lt;VLOOKUP($A12,kritische_breedtes[#All],3,FALSE),"geel","groen"))</f>
        <v>rood</v>
      </c>
      <c r="D12" t="str">
        <f>IF(D$1&lt;VLOOKUP($A12,kritische_breedtes[#All],2,FALSE),"rood",IF(D$1&lt;VLOOKUP($A12,kritische_breedtes[#All],3,FALSE),"geel","groen"))</f>
        <v>geel</v>
      </c>
      <c r="E12" t="str">
        <f>IF(E$1&lt;VLOOKUP($A12,kritische_breedtes[#All],2,FALSE),"rood",IF(E$1&lt;VLOOKUP($A12,kritische_breedtes[#All],3,FALSE),"geel","groen"))</f>
        <v>geel</v>
      </c>
      <c r="F12" t="str">
        <f>IF(F$1&lt;VLOOKUP($A12,kritische_breedtes[#All],2,FALSE),"rood",IF(F$1&lt;VLOOKUP($A12,kritische_breedtes[#All],3,FALSE),"geel","groen"))</f>
        <v>geel</v>
      </c>
      <c r="G12" t="str">
        <f>IF(G$1&lt;VLOOKUP($A12,kritische_breedtes[#All],2,FALSE),"rood",IF(G$1&lt;VLOOKUP($A12,kritische_breedtes[#All],3,FALSE),"geel","groen"))</f>
        <v>geel</v>
      </c>
      <c r="H12" t="str">
        <f>IF(H$1&lt;VLOOKUP($A12,kritische_breedtes[#All],2,FALSE),"rood",IF(H$1&lt;VLOOKUP($A12,kritische_breedtes[#All],3,FALSE),"geel","groen"))</f>
        <v>groen</v>
      </c>
      <c r="I12" t="str">
        <f>IF(I$1&lt;VLOOKUP($A12,kritische_breedtes[#All],2,FALSE),"rood",IF(I$1&lt;VLOOKUP($A12,kritische_breedtes[#All],3,FALSE),"geel","groen"))</f>
        <v>groen</v>
      </c>
      <c r="J12" t="str">
        <f>IF(J$1&lt;VLOOKUP($A12,kritische_breedtes[#All],2,FALSE),"rood",IF(J$1&lt;VLOOKUP($A12,kritische_breedtes[#All],3,FALSE),"geel","groen"))</f>
        <v>groen</v>
      </c>
      <c r="K12" t="str">
        <f>IF(K$1&lt;VLOOKUP($A12,kritische_breedtes[#All],2,FALSE),"rood",IF(K$1&lt;VLOOKUP($A12,kritische_breedtes[#All],3,FALSE),"geel","groen"))</f>
        <v>groen</v>
      </c>
      <c r="L12" t="str">
        <f>IF(L$1&lt;VLOOKUP($A12,kritische_breedtes[#All],2,FALSE),"rood",IF(L$1&lt;VLOOKUP($A12,kritische_breedtes[#All],3,FALSE),"geel","groen"))</f>
        <v>groen</v>
      </c>
      <c r="M12" t="str">
        <f>IF(M$1&lt;VLOOKUP($A12,kritische_breedtes[#All],2,FALSE),"rood",IF(M$1&lt;VLOOKUP($A12,kritische_breedtes[#All],3,FALSE),"geel","groen"))</f>
        <v>groen</v>
      </c>
      <c r="N12" t="str">
        <f>IF(N$1&lt;VLOOKUP($A12,kritische_breedtes[#All],2,FALSE),"rood",IF(N$1&lt;VLOOKUP($A12,kritische_breedtes[#All],3,FALSE),"geel","groen"))</f>
        <v>groen</v>
      </c>
      <c r="O12" t="str">
        <f>IF(O$1&lt;VLOOKUP($A12,kritische_breedtes[#All],2,FALSE),"rood",IF(O$1&lt;VLOOKUP($A12,kritische_breedtes[#All],3,FALSE),"geel","groen"))</f>
        <v>groen</v>
      </c>
      <c r="P12" t="str">
        <f>IF(P$1&lt;VLOOKUP($A12,kritische_breedtes[#All],2,FALSE),"rood",IF(P$1&lt;VLOOKUP($A12,kritische_breedtes[#All],3,FALSE),"geel","groen"))</f>
        <v>groen</v>
      </c>
      <c r="Q12" t="str">
        <f>IF(Q$1&lt;VLOOKUP($A12,kritische_breedtes[#All],2,FALSE),"rood",IF(Q$1&lt;VLOOKUP($A12,kritische_breedtes[#All],3,FALSE),"geel","groen"))</f>
        <v>groen</v>
      </c>
      <c r="R12" t="str">
        <f>IF(R$1&lt;VLOOKUP($A12,kritische_breedtes[#All],2,FALSE),"rood",IF(R$1&lt;VLOOKUP($A12,kritische_breedtes[#All],3,FALSE),"geel","groen"))</f>
        <v>groen</v>
      </c>
      <c r="S12" t="str">
        <f>IF(S$1&lt;VLOOKUP($A12,kritische_breedtes[#All],2,FALSE),"rood",IF(S$1&lt;VLOOKUP($A12,kritische_breedtes[#All],3,FALSE),"geel","groen"))</f>
        <v>groen</v>
      </c>
      <c r="T12" t="str">
        <f>IF(T$1&lt;VLOOKUP($A12,kritische_breedtes[#All],2,FALSE),"rood",IF(T$1&lt;VLOOKUP($A12,kritische_breedtes[#All],3,FALSE),"geel","groen"))</f>
        <v>groen</v>
      </c>
      <c r="U12" t="str">
        <f>IF(U$1&lt;VLOOKUP($A12,kritische_breedtes[#All],2,FALSE),"rood",IF(U$1&lt;VLOOKUP($A12,kritische_breedtes[#All],3,FALSE),"geel","groen"))</f>
        <v>groen</v>
      </c>
      <c r="V12" t="str">
        <f>IF(V$1&lt;VLOOKUP($A12,kritische_breedtes[#All],2,FALSE),"rood",IF(V$1&lt;VLOOKUP($A12,kritische_breedtes[#All],3,FALSE),"geel","groen"))</f>
        <v>groen</v>
      </c>
      <c r="W12" t="str">
        <f>IF(W$1&lt;VLOOKUP($A12,kritische_breedtes[#All],2,FALSE),"rood",IF(W$1&lt;VLOOKUP($A12,kritische_breedtes[#All],3,FALSE),"geel","groen"))</f>
        <v>groen</v>
      </c>
      <c r="X12" t="str">
        <f>IF(X$1&lt;VLOOKUP($A12,kritische_breedtes[#All],2,FALSE),"rood",IF(X$1&lt;VLOOKUP($A12,kritische_breedtes[#All],3,FALSE),"geel","groen"))</f>
        <v>groen</v>
      </c>
      <c r="Y12" t="str">
        <f>IF(Y$1&lt;VLOOKUP($A12,kritische_breedtes[#All],2,FALSE),"rood",IF(Y$1&lt;VLOOKUP($A12,kritische_breedtes[#All],3,FALSE),"geel","groen"))</f>
        <v>groen</v>
      </c>
      <c r="Z12" t="str">
        <f>IF(Z$1&lt;VLOOKUP($A12,kritische_breedtes[#All],2,FALSE),"rood",IF(Z$1&lt;VLOOKUP($A12,kritische_breedtes[#All],3,FALSE),"geel","groen"))</f>
        <v>groen</v>
      </c>
      <c r="AA12" t="str">
        <f>IF(AA$1&lt;VLOOKUP($A12,kritische_breedtes[#All],2,FALSE),"rood",IF(AA$1&lt;VLOOKUP($A12,kritische_breedtes[#All],3,FALSE),"geel","groen"))</f>
        <v>groen</v>
      </c>
      <c r="AB12" t="str">
        <f>IF(AB$1&lt;VLOOKUP($A12,kritische_breedtes[#All],2,FALSE),"rood",IF(AB$1&lt;VLOOKUP($A12,kritische_breedtes[#All],3,FALSE),"geel","groen"))</f>
        <v>groen</v>
      </c>
      <c r="AC12" t="str">
        <f>IF(AC$1&lt;VLOOKUP($A12,kritische_breedtes[#All],2,FALSE),"rood",IF(AC$1&lt;VLOOKUP($A12,kritische_breedtes[#All],3,FALSE),"geel","groen"))</f>
        <v>groen</v>
      </c>
      <c r="AD12" t="str">
        <f>IF(AD$1&lt;VLOOKUP($A12,kritische_breedtes[#All],2,FALSE),"rood",IF(AD$1&lt;VLOOKUP($A12,kritische_breedtes[#All],3,FALSE),"geel","groen"))</f>
        <v>groen</v>
      </c>
    </row>
    <row r="13" spans="1:38">
      <c r="A13" t="s">
        <v>99</v>
      </c>
      <c r="B13">
        <f>B10*(1-duofietsers_var1)*vrachtverkeer_var1</f>
        <v>6.7775043886554629</v>
      </c>
      <c r="C13" t="str">
        <f>IF(C$1&lt;VLOOKUP($A13,kritische_breedtes[#All],2,FALSE),"rood",IF(C$1&lt;VLOOKUP($A13,kritische_breedtes[#All],3,FALSE),"geel","groen"))</f>
        <v>rood</v>
      </c>
      <c r="D13" t="str">
        <f>IF(D$1&lt;VLOOKUP($A13,kritische_breedtes[#All],2,FALSE),"rood",IF(D$1&lt;VLOOKUP($A13,kritische_breedtes[#All],3,FALSE),"geel","groen"))</f>
        <v>geel</v>
      </c>
      <c r="E13" t="str">
        <f>IF(E$1&lt;VLOOKUP($A13,kritische_breedtes[#All],2,FALSE),"rood",IF(E$1&lt;VLOOKUP($A13,kritische_breedtes[#All],3,FALSE),"geel","groen"))</f>
        <v>geel</v>
      </c>
      <c r="F13" t="str">
        <f>IF(F$1&lt;VLOOKUP($A13,kritische_breedtes[#All],2,FALSE),"rood",IF(F$1&lt;VLOOKUP($A13,kritische_breedtes[#All],3,FALSE),"geel","groen"))</f>
        <v>geel</v>
      </c>
      <c r="G13" t="str">
        <f>IF(G$1&lt;VLOOKUP($A13,kritische_breedtes[#All],2,FALSE),"rood",IF(G$1&lt;VLOOKUP($A13,kritische_breedtes[#All],3,FALSE),"geel","groen"))</f>
        <v>groen</v>
      </c>
      <c r="H13" t="str">
        <f>IF(H$1&lt;VLOOKUP($A13,kritische_breedtes[#All],2,FALSE),"rood",IF(H$1&lt;VLOOKUP($A13,kritische_breedtes[#All],3,FALSE),"geel","groen"))</f>
        <v>groen</v>
      </c>
      <c r="I13" t="str">
        <f>IF(I$1&lt;VLOOKUP($A13,kritische_breedtes[#All],2,FALSE),"rood",IF(I$1&lt;VLOOKUP($A13,kritische_breedtes[#All],3,FALSE),"geel","groen"))</f>
        <v>groen</v>
      </c>
      <c r="J13" t="str">
        <f>IF(J$1&lt;VLOOKUP($A13,kritische_breedtes[#All],2,FALSE),"rood",IF(J$1&lt;VLOOKUP($A13,kritische_breedtes[#All],3,FALSE),"geel","groen"))</f>
        <v>groen</v>
      </c>
      <c r="K13" t="str">
        <f>IF(K$1&lt;VLOOKUP($A13,kritische_breedtes[#All],2,FALSE),"rood",IF(K$1&lt;VLOOKUP($A13,kritische_breedtes[#All],3,FALSE),"geel","groen"))</f>
        <v>groen</v>
      </c>
      <c r="L13" t="str">
        <f>IF(L$1&lt;VLOOKUP($A13,kritische_breedtes[#All],2,FALSE),"rood",IF(L$1&lt;VLOOKUP($A13,kritische_breedtes[#All],3,FALSE),"geel","groen"))</f>
        <v>groen</v>
      </c>
      <c r="M13" t="str">
        <f>IF(M$1&lt;VLOOKUP($A13,kritische_breedtes[#All],2,FALSE),"rood",IF(M$1&lt;VLOOKUP($A13,kritische_breedtes[#All],3,FALSE),"geel","groen"))</f>
        <v>groen</v>
      </c>
      <c r="N13" t="str">
        <f>IF(N$1&lt;VLOOKUP($A13,kritische_breedtes[#All],2,FALSE),"rood",IF(N$1&lt;VLOOKUP($A13,kritische_breedtes[#All],3,FALSE),"geel","groen"))</f>
        <v>groen</v>
      </c>
      <c r="O13" t="str">
        <f>IF(O$1&lt;VLOOKUP($A13,kritische_breedtes[#All],2,FALSE),"rood",IF(O$1&lt;VLOOKUP($A13,kritische_breedtes[#All],3,FALSE),"geel","groen"))</f>
        <v>groen</v>
      </c>
      <c r="P13" t="str">
        <f>IF(P$1&lt;VLOOKUP($A13,kritische_breedtes[#All],2,FALSE),"rood",IF(P$1&lt;VLOOKUP($A13,kritische_breedtes[#All],3,FALSE),"geel","groen"))</f>
        <v>groen</v>
      </c>
      <c r="Q13" t="str">
        <f>IF(Q$1&lt;VLOOKUP($A13,kritische_breedtes[#All],2,FALSE),"rood",IF(Q$1&lt;VLOOKUP($A13,kritische_breedtes[#All],3,FALSE),"geel","groen"))</f>
        <v>groen</v>
      </c>
      <c r="R13" t="str">
        <f>IF(R$1&lt;VLOOKUP($A13,kritische_breedtes[#All],2,FALSE),"rood",IF(R$1&lt;VLOOKUP($A13,kritische_breedtes[#All],3,FALSE),"geel","groen"))</f>
        <v>groen</v>
      </c>
      <c r="S13" t="str">
        <f>IF(S$1&lt;VLOOKUP($A13,kritische_breedtes[#All],2,FALSE),"rood",IF(S$1&lt;VLOOKUP($A13,kritische_breedtes[#All],3,FALSE),"geel","groen"))</f>
        <v>groen</v>
      </c>
      <c r="T13" t="str">
        <f>IF(T$1&lt;VLOOKUP($A13,kritische_breedtes[#All],2,FALSE),"rood",IF(T$1&lt;VLOOKUP($A13,kritische_breedtes[#All],3,FALSE),"geel","groen"))</f>
        <v>groen</v>
      </c>
      <c r="U13" t="str">
        <f>IF(U$1&lt;VLOOKUP($A13,kritische_breedtes[#All],2,FALSE),"rood",IF(U$1&lt;VLOOKUP($A13,kritische_breedtes[#All],3,FALSE),"geel","groen"))</f>
        <v>groen</v>
      </c>
      <c r="V13" t="str">
        <f>IF(V$1&lt;VLOOKUP($A13,kritische_breedtes[#All],2,FALSE),"rood",IF(V$1&lt;VLOOKUP($A13,kritische_breedtes[#All],3,FALSE),"geel","groen"))</f>
        <v>groen</v>
      </c>
      <c r="W13" t="str">
        <f>IF(W$1&lt;VLOOKUP($A13,kritische_breedtes[#All],2,FALSE),"rood",IF(W$1&lt;VLOOKUP($A13,kritische_breedtes[#All],3,FALSE),"geel","groen"))</f>
        <v>groen</v>
      </c>
      <c r="X13" t="str">
        <f>IF(X$1&lt;VLOOKUP($A13,kritische_breedtes[#All],2,FALSE),"rood",IF(X$1&lt;VLOOKUP($A13,kritische_breedtes[#All],3,FALSE),"geel","groen"))</f>
        <v>groen</v>
      </c>
      <c r="Y13" t="str">
        <f>IF(Y$1&lt;VLOOKUP($A13,kritische_breedtes[#All],2,FALSE),"rood",IF(Y$1&lt;VLOOKUP($A13,kritische_breedtes[#All],3,FALSE),"geel","groen"))</f>
        <v>groen</v>
      </c>
      <c r="Z13" t="str">
        <f>IF(Z$1&lt;VLOOKUP($A13,kritische_breedtes[#All],2,FALSE),"rood",IF(Z$1&lt;VLOOKUP($A13,kritische_breedtes[#All],3,FALSE),"geel","groen"))</f>
        <v>groen</v>
      </c>
      <c r="AA13" t="str">
        <f>IF(AA$1&lt;VLOOKUP($A13,kritische_breedtes[#All],2,FALSE),"rood",IF(AA$1&lt;VLOOKUP($A13,kritische_breedtes[#All],3,FALSE),"geel","groen"))</f>
        <v>groen</v>
      </c>
      <c r="AB13" t="str">
        <f>IF(AB$1&lt;VLOOKUP($A13,kritische_breedtes[#All],2,FALSE),"rood",IF(AB$1&lt;VLOOKUP($A13,kritische_breedtes[#All],3,FALSE),"geel","groen"))</f>
        <v>groen</v>
      </c>
      <c r="AC13" t="str">
        <f>IF(AC$1&lt;VLOOKUP($A13,kritische_breedtes[#All],2,FALSE),"rood",IF(AC$1&lt;VLOOKUP($A13,kritische_breedtes[#All],3,FALSE),"geel","groen"))</f>
        <v>groen</v>
      </c>
      <c r="AD13" t="str">
        <f>IF(AD$1&lt;VLOOKUP($A13,kritische_breedtes[#All],2,FALSE),"rood",IF(AD$1&lt;VLOOKUP($A13,kritische_breedtes[#All],3,FALSE),"geel","groen"))</f>
        <v>groen</v>
      </c>
    </row>
    <row r="14" spans="1:38">
      <c r="A14" t="s">
        <v>105</v>
      </c>
      <c r="B14">
        <f>B10*duofietsers_var1*vrachtverkeer_var1</f>
        <v>0.75305604318394037</v>
      </c>
      <c r="C14" t="str">
        <f>IF(C$1&lt;VLOOKUP($A14,kritische_breedtes[#All],2,FALSE),"rood",IF(C$1&lt;VLOOKUP($A14,kritische_breedtes[#All],3,FALSE),"geel","groen"))</f>
        <v>rood</v>
      </c>
      <c r="D14" t="str">
        <f>IF(D$1&lt;VLOOKUP($A14,kritische_breedtes[#All],2,FALSE),"rood",IF(D$1&lt;VLOOKUP($A14,kritische_breedtes[#All],3,FALSE),"geel","groen"))</f>
        <v>rood</v>
      </c>
      <c r="E14" t="str">
        <f>IF(E$1&lt;VLOOKUP($A14,kritische_breedtes[#All],2,FALSE),"rood",IF(E$1&lt;VLOOKUP($A14,kritische_breedtes[#All],3,FALSE),"geel","groen"))</f>
        <v>rood</v>
      </c>
      <c r="F14" t="str">
        <f>IF(F$1&lt;VLOOKUP($A14,kritische_breedtes[#All],2,FALSE),"rood",IF(F$1&lt;VLOOKUP($A14,kritische_breedtes[#All],3,FALSE),"geel","groen"))</f>
        <v>geel</v>
      </c>
      <c r="G14" t="str">
        <f>IF(G$1&lt;VLOOKUP($A14,kritische_breedtes[#All],2,FALSE),"rood",IF(G$1&lt;VLOOKUP($A14,kritische_breedtes[#All],3,FALSE),"geel","groen"))</f>
        <v>geel</v>
      </c>
      <c r="H14" t="str">
        <f>IF(H$1&lt;VLOOKUP($A14,kritische_breedtes[#All],2,FALSE),"rood",IF(H$1&lt;VLOOKUP($A14,kritische_breedtes[#All],3,FALSE),"geel","groen"))</f>
        <v>geel</v>
      </c>
      <c r="I14" t="str">
        <f>IF(I$1&lt;VLOOKUP($A14,kritische_breedtes[#All],2,FALSE),"rood",IF(I$1&lt;VLOOKUP($A14,kritische_breedtes[#All],3,FALSE),"geel","groen"))</f>
        <v>geel</v>
      </c>
      <c r="J14" t="str">
        <f>IF(J$1&lt;VLOOKUP($A14,kritische_breedtes[#All],2,FALSE),"rood",IF(J$1&lt;VLOOKUP($A14,kritische_breedtes[#All],3,FALSE),"geel","groen"))</f>
        <v>geel</v>
      </c>
      <c r="K14" t="str">
        <f>IF(K$1&lt;VLOOKUP($A14,kritische_breedtes[#All],2,FALSE),"rood",IF(K$1&lt;VLOOKUP($A14,kritische_breedtes[#All],3,FALSE),"geel","groen"))</f>
        <v>groen</v>
      </c>
      <c r="L14" t="str">
        <f>IF(L$1&lt;VLOOKUP($A14,kritische_breedtes[#All],2,FALSE),"rood",IF(L$1&lt;VLOOKUP($A14,kritische_breedtes[#All],3,FALSE),"geel","groen"))</f>
        <v>groen</v>
      </c>
      <c r="M14" t="str">
        <f>IF(M$1&lt;VLOOKUP($A14,kritische_breedtes[#All],2,FALSE),"rood",IF(M$1&lt;VLOOKUP($A14,kritische_breedtes[#All],3,FALSE),"geel","groen"))</f>
        <v>groen</v>
      </c>
      <c r="N14" t="str">
        <f>IF(N$1&lt;VLOOKUP($A14,kritische_breedtes[#All],2,FALSE),"rood",IF(N$1&lt;VLOOKUP($A14,kritische_breedtes[#All],3,FALSE),"geel","groen"))</f>
        <v>groen</v>
      </c>
      <c r="O14" t="str">
        <f>IF(O$1&lt;VLOOKUP($A14,kritische_breedtes[#All],2,FALSE),"rood",IF(O$1&lt;VLOOKUP($A14,kritische_breedtes[#All],3,FALSE),"geel","groen"))</f>
        <v>groen</v>
      </c>
      <c r="P14" t="str">
        <f>IF(P$1&lt;VLOOKUP($A14,kritische_breedtes[#All],2,FALSE),"rood",IF(P$1&lt;VLOOKUP($A14,kritische_breedtes[#All],3,FALSE),"geel","groen"))</f>
        <v>groen</v>
      </c>
      <c r="Q14" t="str">
        <f>IF(Q$1&lt;VLOOKUP($A14,kritische_breedtes[#All],2,FALSE),"rood",IF(Q$1&lt;VLOOKUP($A14,kritische_breedtes[#All],3,FALSE),"geel","groen"))</f>
        <v>groen</v>
      </c>
      <c r="R14" t="str">
        <f>IF(R$1&lt;VLOOKUP($A14,kritische_breedtes[#All],2,FALSE),"rood",IF(R$1&lt;VLOOKUP($A14,kritische_breedtes[#All],3,FALSE),"geel","groen"))</f>
        <v>groen</v>
      </c>
      <c r="S14" t="str">
        <f>IF(S$1&lt;VLOOKUP($A14,kritische_breedtes[#All],2,FALSE),"rood",IF(S$1&lt;VLOOKUP($A14,kritische_breedtes[#All],3,FALSE),"geel","groen"))</f>
        <v>groen</v>
      </c>
      <c r="T14" t="str">
        <f>IF(T$1&lt;VLOOKUP($A14,kritische_breedtes[#All],2,FALSE),"rood",IF(T$1&lt;VLOOKUP($A14,kritische_breedtes[#All],3,FALSE),"geel","groen"))</f>
        <v>groen</v>
      </c>
      <c r="U14" t="str">
        <f>IF(U$1&lt;VLOOKUP($A14,kritische_breedtes[#All],2,FALSE),"rood",IF(U$1&lt;VLOOKUP($A14,kritische_breedtes[#All],3,FALSE),"geel","groen"))</f>
        <v>groen</v>
      </c>
      <c r="V14" t="str">
        <f>IF(V$1&lt;VLOOKUP($A14,kritische_breedtes[#All],2,FALSE),"rood",IF(V$1&lt;VLOOKUP($A14,kritische_breedtes[#All],3,FALSE),"geel","groen"))</f>
        <v>groen</v>
      </c>
      <c r="W14" t="str">
        <f>IF(W$1&lt;VLOOKUP($A14,kritische_breedtes[#All],2,FALSE),"rood",IF(W$1&lt;VLOOKUP($A14,kritische_breedtes[#All],3,FALSE),"geel","groen"))</f>
        <v>groen</v>
      </c>
      <c r="X14" t="str">
        <f>IF(X$1&lt;VLOOKUP($A14,kritische_breedtes[#All],2,FALSE),"rood",IF(X$1&lt;VLOOKUP($A14,kritische_breedtes[#All],3,FALSE),"geel","groen"))</f>
        <v>groen</v>
      </c>
      <c r="Y14" t="str">
        <f>IF(Y$1&lt;VLOOKUP($A14,kritische_breedtes[#All],2,FALSE),"rood",IF(Y$1&lt;VLOOKUP($A14,kritische_breedtes[#All],3,FALSE),"geel","groen"))</f>
        <v>groen</v>
      </c>
      <c r="Z14" t="str">
        <f>IF(Z$1&lt;VLOOKUP($A14,kritische_breedtes[#All],2,FALSE),"rood",IF(Z$1&lt;VLOOKUP($A14,kritische_breedtes[#All],3,FALSE),"geel","groen"))</f>
        <v>groen</v>
      </c>
      <c r="AA14" t="str">
        <f>IF(AA$1&lt;VLOOKUP($A14,kritische_breedtes[#All],2,FALSE),"rood",IF(AA$1&lt;VLOOKUP($A14,kritische_breedtes[#All],3,FALSE),"geel","groen"))</f>
        <v>groen</v>
      </c>
      <c r="AB14" t="str">
        <f>IF(AB$1&lt;VLOOKUP($A14,kritische_breedtes[#All],2,FALSE),"rood",IF(AB$1&lt;VLOOKUP($A14,kritische_breedtes[#All],3,FALSE),"geel","groen"))</f>
        <v>groen</v>
      </c>
      <c r="AC14" t="str">
        <f>IF(AC$1&lt;VLOOKUP($A14,kritische_breedtes[#All],2,FALSE),"rood",IF(AC$1&lt;VLOOKUP($A14,kritische_breedtes[#All],3,FALSE),"geel","groen"))</f>
        <v>groen</v>
      </c>
      <c r="AD14" t="str">
        <f>IF(AD$1&lt;VLOOKUP($A14,kritische_breedtes[#All],2,FALSE),"rood",IF(AD$1&lt;VLOOKUP($A14,kritische_breedtes[#All],3,FALSE),"geel","groen"))</f>
        <v>groen</v>
      </c>
    </row>
    <row r="16" spans="1:38">
      <c r="A16" t="s">
        <v>185</v>
      </c>
      <c r="B16">
        <f>MAX(0,i_fiets_sec_ri1_var1*i_auto_sec_ri1_var1*(t_fiets_var1-t_auto_var1)*i_fiets_sec_ri2_var1*t_inhalen*periode+i_fiets_sec_ri2_var1*i_auto_sec_ri2_var1*(t_fiets_var1-t_auto_var1)*i_fiets_sec_ri1_var1*t_inhalen*periode-B32)</f>
        <v>18.206105392156857</v>
      </c>
    </row>
    <row r="17" spans="1:30">
      <c r="A17" t="s">
        <v>88</v>
      </c>
      <c r="B17">
        <f>B16*(1-duofietsers_var1)*(1-vrachtverkeer_var1)*(1-duofietsers_var1)</f>
        <v>14.452006460294113</v>
      </c>
      <c r="C17" t="str">
        <f>IF(C$1&lt;VLOOKUP($A17,kritische_breedtes[#All],2,FALSE),"rood",IF(C$1&lt;VLOOKUP($A17,kritische_breedtes[#All],3,FALSE),"geel","groen"))</f>
        <v>rood</v>
      </c>
      <c r="D17" t="str">
        <f>IF(D$1&lt;VLOOKUP($A17,kritische_breedtes[#All],2,FALSE),"rood",IF(D$1&lt;VLOOKUP($A17,kritische_breedtes[#All],3,FALSE),"geel","groen"))</f>
        <v>rood</v>
      </c>
      <c r="E17" t="str">
        <f>IF(E$1&lt;VLOOKUP($A17,kritische_breedtes[#All],2,FALSE),"rood",IF(E$1&lt;VLOOKUP($A17,kritische_breedtes[#All],3,FALSE),"geel","groen"))</f>
        <v>rood</v>
      </c>
      <c r="F17" t="str">
        <f>IF(F$1&lt;VLOOKUP($A17,kritische_breedtes[#All],2,FALSE),"rood",IF(F$1&lt;VLOOKUP($A17,kritische_breedtes[#All],3,FALSE),"geel","groen"))</f>
        <v>rood</v>
      </c>
      <c r="G17" t="str">
        <f>IF(G$1&lt;VLOOKUP($A17,kritische_breedtes[#All],2,FALSE),"rood",IF(G$1&lt;VLOOKUP($A17,kritische_breedtes[#All],3,FALSE),"geel","groen"))</f>
        <v>geel</v>
      </c>
      <c r="H17" t="str">
        <f>IF(H$1&lt;VLOOKUP($A17,kritische_breedtes[#All],2,FALSE),"rood",IF(H$1&lt;VLOOKUP($A17,kritische_breedtes[#All],3,FALSE),"geel","groen"))</f>
        <v>geel</v>
      </c>
      <c r="I17" t="str">
        <f>IF(I$1&lt;VLOOKUP($A17,kritische_breedtes[#All],2,FALSE),"rood",IF(I$1&lt;VLOOKUP($A17,kritische_breedtes[#All],3,FALSE),"geel","groen"))</f>
        <v>geel</v>
      </c>
      <c r="J17" t="str">
        <f>IF(J$1&lt;VLOOKUP($A17,kritische_breedtes[#All],2,FALSE),"rood",IF(J$1&lt;VLOOKUP($A17,kritische_breedtes[#All],3,FALSE),"geel","groen"))</f>
        <v>geel</v>
      </c>
      <c r="K17" t="str">
        <f>IF(K$1&lt;VLOOKUP($A17,kritische_breedtes[#All],2,FALSE),"rood",IF(K$1&lt;VLOOKUP($A17,kritische_breedtes[#All],3,FALSE),"geel","groen"))</f>
        <v>groen</v>
      </c>
      <c r="L17" t="str">
        <f>IF(L$1&lt;VLOOKUP($A17,kritische_breedtes[#All],2,FALSE),"rood",IF(L$1&lt;VLOOKUP($A17,kritische_breedtes[#All],3,FALSE),"geel","groen"))</f>
        <v>groen</v>
      </c>
      <c r="M17" t="str">
        <f>IF(M$1&lt;VLOOKUP($A17,kritische_breedtes[#All],2,FALSE),"rood",IF(M$1&lt;VLOOKUP($A17,kritische_breedtes[#All],3,FALSE),"geel","groen"))</f>
        <v>groen</v>
      </c>
      <c r="N17" t="str">
        <f>IF(N$1&lt;VLOOKUP($A17,kritische_breedtes[#All],2,FALSE),"rood",IF(N$1&lt;VLOOKUP($A17,kritische_breedtes[#All],3,FALSE),"geel","groen"))</f>
        <v>groen</v>
      </c>
      <c r="O17" t="str">
        <f>IF(O$1&lt;VLOOKUP($A17,kritische_breedtes[#All],2,FALSE),"rood",IF(O$1&lt;VLOOKUP($A17,kritische_breedtes[#All],3,FALSE),"geel","groen"))</f>
        <v>groen</v>
      </c>
      <c r="P17" t="str">
        <f>IF(P$1&lt;VLOOKUP($A17,kritische_breedtes[#All],2,FALSE),"rood",IF(P$1&lt;VLOOKUP($A17,kritische_breedtes[#All],3,FALSE),"geel","groen"))</f>
        <v>groen</v>
      </c>
      <c r="Q17" t="str">
        <f>IF(Q$1&lt;VLOOKUP($A17,kritische_breedtes[#All],2,FALSE),"rood",IF(Q$1&lt;VLOOKUP($A17,kritische_breedtes[#All],3,FALSE),"geel","groen"))</f>
        <v>groen</v>
      </c>
      <c r="R17" t="str">
        <f>IF(R$1&lt;VLOOKUP($A17,kritische_breedtes[#All],2,FALSE),"rood",IF(R$1&lt;VLOOKUP($A17,kritische_breedtes[#All],3,FALSE),"geel","groen"))</f>
        <v>groen</v>
      </c>
      <c r="S17" t="str">
        <f>IF(S$1&lt;VLOOKUP($A17,kritische_breedtes[#All],2,FALSE),"rood",IF(S$1&lt;VLOOKUP($A17,kritische_breedtes[#All],3,FALSE),"geel","groen"))</f>
        <v>groen</v>
      </c>
      <c r="T17" t="str">
        <f>IF(T$1&lt;VLOOKUP($A17,kritische_breedtes[#All],2,FALSE),"rood",IF(T$1&lt;VLOOKUP($A17,kritische_breedtes[#All],3,FALSE),"geel","groen"))</f>
        <v>groen</v>
      </c>
      <c r="U17" t="str">
        <f>IF(U$1&lt;VLOOKUP($A17,kritische_breedtes[#All],2,FALSE),"rood",IF(U$1&lt;VLOOKUP($A17,kritische_breedtes[#All],3,FALSE),"geel","groen"))</f>
        <v>groen</v>
      </c>
      <c r="V17" t="str">
        <f>IF(V$1&lt;VLOOKUP($A17,kritische_breedtes[#All],2,FALSE),"rood",IF(V$1&lt;VLOOKUP($A17,kritische_breedtes[#All],3,FALSE),"geel","groen"))</f>
        <v>groen</v>
      </c>
      <c r="W17" t="str">
        <f>IF(W$1&lt;VLOOKUP($A17,kritische_breedtes[#All],2,FALSE),"rood",IF(W$1&lt;VLOOKUP($A17,kritische_breedtes[#All],3,FALSE),"geel","groen"))</f>
        <v>groen</v>
      </c>
      <c r="X17" t="str">
        <f>IF(X$1&lt;VLOOKUP($A17,kritische_breedtes[#All],2,FALSE),"rood",IF(X$1&lt;VLOOKUP($A17,kritische_breedtes[#All],3,FALSE),"geel","groen"))</f>
        <v>groen</v>
      </c>
      <c r="Y17" t="str">
        <f>IF(Y$1&lt;VLOOKUP($A17,kritische_breedtes[#All],2,FALSE),"rood",IF(Y$1&lt;VLOOKUP($A17,kritische_breedtes[#All],3,FALSE),"geel","groen"))</f>
        <v>groen</v>
      </c>
      <c r="Z17" t="str">
        <f>IF(Z$1&lt;VLOOKUP($A17,kritische_breedtes[#All],2,FALSE),"rood",IF(Z$1&lt;VLOOKUP($A17,kritische_breedtes[#All],3,FALSE),"geel","groen"))</f>
        <v>groen</v>
      </c>
      <c r="AA17" t="str">
        <f>IF(AA$1&lt;VLOOKUP($A17,kritische_breedtes[#All],2,FALSE),"rood",IF(AA$1&lt;VLOOKUP($A17,kritische_breedtes[#All],3,FALSE),"geel","groen"))</f>
        <v>groen</v>
      </c>
      <c r="AB17" t="str">
        <f>IF(AB$1&lt;VLOOKUP($A17,kritische_breedtes[#All],2,FALSE),"rood",IF(AB$1&lt;VLOOKUP($A17,kritische_breedtes[#All],3,FALSE),"geel","groen"))</f>
        <v>groen</v>
      </c>
      <c r="AC17" t="str">
        <f>IF(AC$1&lt;VLOOKUP($A17,kritische_breedtes[#All],2,FALSE),"rood",IF(AC$1&lt;VLOOKUP($A17,kritische_breedtes[#All],3,FALSE),"geel","groen"))</f>
        <v>groen</v>
      </c>
      <c r="AD17" t="str">
        <f>IF(AD$1&lt;VLOOKUP($A17,kritische_breedtes[#All],2,FALSE),"rood",IF(AD$1&lt;VLOOKUP($A17,kritische_breedtes[#All],3,FALSE),"geel","groen"))</f>
        <v>groen</v>
      </c>
    </row>
    <row r="18" spans="1:30">
      <c r="A18" t="s">
        <v>94</v>
      </c>
      <c r="B18">
        <f>B16*duofietsers_var1*(1-vrachtverkeer_var1)*(1-duofietsers_var1)+B16*(1-duofietsers_var1)*(1-vrachtverkeer_var1)*duofietsers_var1</f>
        <v>3.2115569911764696</v>
      </c>
      <c r="C18" t="str">
        <f>IF(C$1&lt;VLOOKUP($A18,kritische_breedtes[#All],2,FALSE),"rood",IF(C$1&lt;VLOOKUP($A18,kritische_breedtes[#All],3,FALSE),"geel","groen"))</f>
        <v>rood</v>
      </c>
      <c r="D18" t="str">
        <f>IF(D$1&lt;VLOOKUP($A18,kritische_breedtes[#All],2,FALSE),"rood",IF(D$1&lt;VLOOKUP($A18,kritische_breedtes[#All],3,FALSE),"geel","groen"))</f>
        <v>rood</v>
      </c>
      <c r="E18" t="str">
        <f>IF(E$1&lt;VLOOKUP($A18,kritische_breedtes[#All],2,FALSE),"rood",IF(E$1&lt;VLOOKUP($A18,kritische_breedtes[#All],3,FALSE),"geel","groen"))</f>
        <v>rood</v>
      </c>
      <c r="F18" t="str">
        <f>IF(F$1&lt;VLOOKUP($A18,kritische_breedtes[#All],2,FALSE),"rood",IF(F$1&lt;VLOOKUP($A18,kritische_breedtes[#All],3,FALSE),"geel","groen"))</f>
        <v>rood</v>
      </c>
      <c r="G18" t="str">
        <f>IF(G$1&lt;VLOOKUP($A18,kritische_breedtes[#All],2,FALSE),"rood",IF(G$1&lt;VLOOKUP($A18,kritische_breedtes[#All],3,FALSE),"geel","groen"))</f>
        <v>rood</v>
      </c>
      <c r="H18" t="str">
        <f>IF(H$1&lt;VLOOKUP($A18,kritische_breedtes[#All],2,FALSE),"rood",IF(H$1&lt;VLOOKUP($A18,kritische_breedtes[#All],3,FALSE),"geel","groen"))</f>
        <v>rood</v>
      </c>
      <c r="I18" t="str">
        <f>IF(I$1&lt;VLOOKUP($A18,kritische_breedtes[#All],2,FALSE),"rood",IF(I$1&lt;VLOOKUP($A18,kritische_breedtes[#All],3,FALSE),"geel","groen"))</f>
        <v>rood</v>
      </c>
      <c r="J18" t="str">
        <f>IF(J$1&lt;VLOOKUP($A18,kritische_breedtes[#All],2,FALSE),"rood",IF(J$1&lt;VLOOKUP($A18,kritische_breedtes[#All],3,FALSE),"geel","groen"))</f>
        <v>geel</v>
      </c>
      <c r="K18" t="str">
        <f>IF(K$1&lt;VLOOKUP($A18,kritische_breedtes[#All],2,FALSE),"rood",IF(K$1&lt;VLOOKUP($A18,kritische_breedtes[#All],3,FALSE),"geel","groen"))</f>
        <v>geel</v>
      </c>
      <c r="L18" t="str">
        <f>IF(L$1&lt;VLOOKUP($A18,kritische_breedtes[#All],2,FALSE),"rood",IF(L$1&lt;VLOOKUP($A18,kritische_breedtes[#All],3,FALSE),"geel","groen"))</f>
        <v>geel</v>
      </c>
      <c r="M18" t="str">
        <f>IF(M$1&lt;VLOOKUP($A18,kritische_breedtes[#All],2,FALSE),"rood",IF(M$1&lt;VLOOKUP($A18,kritische_breedtes[#All],3,FALSE),"geel","groen"))</f>
        <v>geel</v>
      </c>
      <c r="N18" t="str">
        <f>IF(N$1&lt;VLOOKUP($A18,kritische_breedtes[#All],2,FALSE),"rood",IF(N$1&lt;VLOOKUP($A18,kritische_breedtes[#All],3,FALSE),"geel","groen"))</f>
        <v>geel</v>
      </c>
      <c r="O18" t="str">
        <f>IF(O$1&lt;VLOOKUP($A18,kritische_breedtes[#All],2,FALSE),"rood",IF(O$1&lt;VLOOKUP($A18,kritische_breedtes[#All],3,FALSE),"geel","groen"))</f>
        <v>groen</v>
      </c>
      <c r="P18" t="str">
        <f>IF(P$1&lt;VLOOKUP($A18,kritische_breedtes[#All],2,FALSE),"rood",IF(P$1&lt;VLOOKUP($A18,kritische_breedtes[#All],3,FALSE),"geel","groen"))</f>
        <v>groen</v>
      </c>
      <c r="Q18" t="str">
        <f>IF(Q$1&lt;VLOOKUP($A18,kritische_breedtes[#All],2,FALSE),"rood",IF(Q$1&lt;VLOOKUP($A18,kritische_breedtes[#All],3,FALSE),"geel","groen"))</f>
        <v>groen</v>
      </c>
      <c r="R18" t="str">
        <f>IF(R$1&lt;VLOOKUP($A18,kritische_breedtes[#All],2,FALSE),"rood",IF(R$1&lt;VLOOKUP($A18,kritische_breedtes[#All],3,FALSE),"geel","groen"))</f>
        <v>groen</v>
      </c>
      <c r="S18" t="str">
        <f>IF(S$1&lt;VLOOKUP($A18,kritische_breedtes[#All],2,FALSE),"rood",IF(S$1&lt;VLOOKUP($A18,kritische_breedtes[#All],3,FALSE),"geel","groen"))</f>
        <v>groen</v>
      </c>
      <c r="T18" t="str">
        <f>IF(T$1&lt;VLOOKUP($A18,kritische_breedtes[#All],2,FALSE),"rood",IF(T$1&lt;VLOOKUP($A18,kritische_breedtes[#All],3,FALSE),"geel","groen"))</f>
        <v>groen</v>
      </c>
      <c r="U18" t="str">
        <f>IF(U$1&lt;VLOOKUP($A18,kritische_breedtes[#All],2,FALSE),"rood",IF(U$1&lt;VLOOKUP($A18,kritische_breedtes[#All],3,FALSE),"geel","groen"))</f>
        <v>groen</v>
      </c>
      <c r="V18" t="str">
        <f>IF(V$1&lt;VLOOKUP($A18,kritische_breedtes[#All],2,FALSE),"rood",IF(V$1&lt;VLOOKUP($A18,kritische_breedtes[#All],3,FALSE),"geel","groen"))</f>
        <v>groen</v>
      </c>
      <c r="W18" t="str">
        <f>IF(W$1&lt;VLOOKUP($A18,kritische_breedtes[#All],2,FALSE),"rood",IF(W$1&lt;VLOOKUP($A18,kritische_breedtes[#All],3,FALSE),"geel","groen"))</f>
        <v>groen</v>
      </c>
      <c r="X18" t="str">
        <f>IF(X$1&lt;VLOOKUP($A18,kritische_breedtes[#All],2,FALSE),"rood",IF(X$1&lt;VLOOKUP($A18,kritische_breedtes[#All],3,FALSE),"geel","groen"))</f>
        <v>groen</v>
      </c>
      <c r="Y18" t="str">
        <f>IF(Y$1&lt;VLOOKUP($A18,kritische_breedtes[#All],2,FALSE),"rood",IF(Y$1&lt;VLOOKUP($A18,kritische_breedtes[#All],3,FALSE),"geel","groen"))</f>
        <v>groen</v>
      </c>
      <c r="Z18" t="str">
        <f>IF(Z$1&lt;VLOOKUP($A18,kritische_breedtes[#All],2,FALSE),"rood",IF(Z$1&lt;VLOOKUP($A18,kritische_breedtes[#All],3,FALSE),"geel","groen"))</f>
        <v>groen</v>
      </c>
      <c r="AA18" t="str">
        <f>IF(AA$1&lt;VLOOKUP($A18,kritische_breedtes[#All],2,FALSE),"rood",IF(AA$1&lt;VLOOKUP($A18,kritische_breedtes[#All],3,FALSE),"geel","groen"))</f>
        <v>groen</v>
      </c>
      <c r="AB18" t="str">
        <f>IF(AB$1&lt;VLOOKUP($A18,kritische_breedtes[#All],2,FALSE),"rood",IF(AB$1&lt;VLOOKUP($A18,kritische_breedtes[#All],3,FALSE),"geel","groen"))</f>
        <v>groen</v>
      </c>
      <c r="AC18" t="str">
        <f>IF(AC$1&lt;VLOOKUP($A18,kritische_breedtes[#All],2,FALSE),"rood",IF(AC$1&lt;VLOOKUP($A18,kritische_breedtes[#All],3,FALSE),"geel","groen"))</f>
        <v>groen</v>
      </c>
      <c r="AD18" t="str">
        <f>IF(AD$1&lt;VLOOKUP($A18,kritische_breedtes[#All],2,FALSE),"rood",IF(AD$1&lt;VLOOKUP($A18,kritische_breedtes[#All],3,FALSE),"geel","groen"))</f>
        <v>groen</v>
      </c>
    </row>
    <row r="19" spans="1:30">
      <c r="A19" t="s">
        <v>101</v>
      </c>
      <c r="B19">
        <f>B16*(1-duofietsers_var1)*vrachtverkeer_var1*(1-duofietsers_var1)</f>
        <v>0.29493890735294109</v>
      </c>
      <c r="C19" t="str">
        <f>IF(C$1&lt;VLOOKUP($A19,kritische_breedtes[#All],2,FALSE),"rood",IF(C$1&lt;VLOOKUP($A19,kritische_breedtes[#All],3,FALSE),"geel","groen"))</f>
        <v>rood</v>
      </c>
      <c r="D19" t="str">
        <f>IF(D$1&lt;VLOOKUP($A19,kritische_breedtes[#All],2,FALSE),"rood",IF(D$1&lt;VLOOKUP($A19,kritische_breedtes[#All],3,FALSE),"geel","groen"))</f>
        <v>rood</v>
      </c>
      <c r="E19" t="str">
        <f>IF(E$1&lt;VLOOKUP($A19,kritische_breedtes[#All],2,FALSE),"rood",IF(E$1&lt;VLOOKUP($A19,kritische_breedtes[#All],3,FALSE),"geel","groen"))</f>
        <v>rood</v>
      </c>
      <c r="F19" t="str">
        <f>IF(F$1&lt;VLOOKUP($A19,kritische_breedtes[#All],2,FALSE),"rood",IF(F$1&lt;VLOOKUP($A19,kritische_breedtes[#All],3,FALSE),"geel","groen"))</f>
        <v>rood</v>
      </c>
      <c r="G19" t="str">
        <f>IF(G$1&lt;VLOOKUP($A19,kritische_breedtes[#All],2,FALSE),"rood",IF(G$1&lt;VLOOKUP($A19,kritische_breedtes[#All],3,FALSE),"geel","groen"))</f>
        <v>rood</v>
      </c>
      <c r="H19" t="str">
        <f>IF(H$1&lt;VLOOKUP($A19,kritische_breedtes[#All],2,FALSE),"rood",IF(H$1&lt;VLOOKUP($A19,kritische_breedtes[#All],3,FALSE),"geel","groen"))</f>
        <v>rood</v>
      </c>
      <c r="I19" t="str">
        <f>IF(I$1&lt;VLOOKUP($A19,kritische_breedtes[#All],2,FALSE),"rood",IF(I$1&lt;VLOOKUP($A19,kritische_breedtes[#All],3,FALSE),"geel","groen"))</f>
        <v>rood</v>
      </c>
      <c r="J19" t="str">
        <f>IF(J$1&lt;VLOOKUP($A19,kritische_breedtes[#All],2,FALSE),"rood",IF(J$1&lt;VLOOKUP($A19,kritische_breedtes[#All],3,FALSE),"geel","groen"))</f>
        <v>geel</v>
      </c>
      <c r="K19" t="str">
        <f>IF(K$1&lt;VLOOKUP($A19,kritische_breedtes[#All],2,FALSE),"rood",IF(K$1&lt;VLOOKUP($A19,kritische_breedtes[#All],3,FALSE),"geel","groen"))</f>
        <v>geel</v>
      </c>
      <c r="L19" t="str">
        <f>IF(L$1&lt;VLOOKUP($A19,kritische_breedtes[#All],2,FALSE),"rood",IF(L$1&lt;VLOOKUP($A19,kritische_breedtes[#All],3,FALSE),"geel","groen"))</f>
        <v>geel</v>
      </c>
      <c r="M19" t="str">
        <f>IF(M$1&lt;VLOOKUP($A19,kritische_breedtes[#All],2,FALSE),"rood",IF(M$1&lt;VLOOKUP($A19,kritische_breedtes[#All],3,FALSE),"geel","groen"))</f>
        <v>geel</v>
      </c>
      <c r="N19" t="str">
        <f>IF(N$1&lt;VLOOKUP($A19,kritische_breedtes[#All],2,FALSE),"rood",IF(N$1&lt;VLOOKUP($A19,kritische_breedtes[#All],3,FALSE),"geel","groen"))</f>
        <v>geel</v>
      </c>
      <c r="O19" t="str">
        <f>IF(O$1&lt;VLOOKUP($A19,kritische_breedtes[#All],2,FALSE),"rood",IF(O$1&lt;VLOOKUP($A19,kritische_breedtes[#All],3,FALSE),"geel","groen"))</f>
        <v>groen</v>
      </c>
      <c r="P19" t="str">
        <f>IF(P$1&lt;VLOOKUP($A19,kritische_breedtes[#All],2,FALSE),"rood",IF(P$1&lt;VLOOKUP($A19,kritische_breedtes[#All],3,FALSE),"geel","groen"))</f>
        <v>groen</v>
      </c>
      <c r="Q19" t="str">
        <f>IF(Q$1&lt;VLOOKUP($A19,kritische_breedtes[#All],2,FALSE),"rood",IF(Q$1&lt;VLOOKUP($A19,kritische_breedtes[#All],3,FALSE),"geel","groen"))</f>
        <v>groen</v>
      </c>
      <c r="R19" t="str">
        <f>IF(R$1&lt;VLOOKUP($A19,kritische_breedtes[#All],2,FALSE),"rood",IF(R$1&lt;VLOOKUP($A19,kritische_breedtes[#All],3,FALSE),"geel","groen"))</f>
        <v>groen</v>
      </c>
      <c r="S19" t="str">
        <f>IF(S$1&lt;VLOOKUP($A19,kritische_breedtes[#All],2,FALSE),"rood",IF(S$1&lt;VLOOKUP($A19,kritische_breedtes[#All],3,FALSE),"geel","groen"))</f>
        <v>groen</v>
      </c>
      <c r="T19" t="str">
        <f>IF(T$1&lt;VLOOKUP($A19,kritische_breedtes[#All],2,FALSE),"rood",IF(T$1&lt;VLOOKUP($A19,kritische_breedtes[#All],3,FALSE),"geel","groen"))</f>
        <v>groen</v>
      </c>
      <c r="U19" t="str">
        <f>IF(U$1&lt;VLOOKUP($A19,kritische_breedtes[#All],2,FALSE),"rood",IF(U$1&lt;VLOOKUP($A19,kritische_breedtes[#All],3,FALSE),"geel","groen"))</f>
        <v>groen</v>
      </c>
      <c r="V19" t="str">
        <f>IF(V$1&lt;VLOOKUP($A19,kritische_breedtes[#All],2,FALSE),"rood",IF(V$1&lt;VLOOKUP($A19,kritische_breedtes[#All],3,FALSE),"geel","groen"))</f>
        <v>groen</v>
      </c>
      <c r="W19" t="str">
        <f>IF(W$1&lt;VLOOKUP($A19,kritische_breedtes[#All],2,FALSE),"rood",IF(W$1&lt;VLOOKUP($A19,kritische_breedtes[#All],3,FALSE),"geel","groen"))</f>
        <v>groen</v>
      </c>
      <c r="X19" t="str">
        <f>IF(X$1&lt;VLOOKUP($A19,kritische_breedtes[#All],2,FALSE),"rood",IF(X$1&lt;VLOOKUP($A19,kritische_breedtes[#All],3,FALSE),"geel","groen"))</f>
        <v>groen</v>
      </c>
      <c r="Y19" t="str">
        <f>IF(Y$1&lt;VLOOKUP($A19,kritische_breedtes[#All],2,FALSE),"rood",IF(Y$1&lt;VLOOKUP($A19,kritische_breedtes[#All],3,FALSE),"geel","groen"))</f>
        <v>groen</v>
      </c>
      <c r="Z19" t="str">
        <f>IF(Z$1&lt;VLOOKUP($A19,kritische_breedtes[#All],2,FALSE),"rood",IF(Z$1&lt;VLOOKUP($A19,kritische_breedtes[#All],3,FALSE),"geel","groen"))</f>
        <v>groen</v>
      </c>
      <c r="AA19" t="str">
        <f>IF(AA$1&lt;VLOOKUP($A19,kritische_breedtes[#All],2,FALSE),"rood",IF(AA$1&lt;VLOOKUP($A19,kritische_breedtes[#All],3,FALSE),"geel","groen"))</f>
        <v>groen</v>
      </c>
      <c r="AB19" t="str">
        <f>IF(AB$1&lt;VLOOKUP($A19,kritische_breedtes[#All],2,FALSE),"rood",IF(AB$1&lt;VLOOKUP($A19,kritische_breedtes[#All],3,FALSE),"geel","groen"))</f>
        <v>groen</v>
      </c>
      <c r="AC19" t="str">
        <f>IF(AC$1&lt;VLOOKUP($A19,kritische_breedtes[#All],2,FALSE),"rood",IF(AC$1&lt;VLOOKUP($A19,kritische_breedtes[#All],3,FALSE),"geel","groen"))</f>
        <v>groen</v>
      </c>
      <c r="AD19" t="str">
        <f>IF(AD$1&lt;VLOOKUP($A19,kritische_breedtes[#All],2,FALSE),"rood",IF(AD$1&lt;VLOOKUP($A19,kritische_breedtes[#All],3,FALSE),"geel","groen"))</f>
        <v>groen</v>
      </c>
    </row>
    <row r="20" spans="1:30">
      <c r="A20" t="s">
        <v>107</v>
      </c>
      <c r="B20">
        <f>B16*duofietsers_var1*vrachtverkeer_var1*(1-duofietsers_var1)+B16*(1-duofietsers_var1)*vrachtverkeer_var1*duofietsers_var1</f>
        <v>6.5541979411764692E-2</v>
      </c>
      <c r="C20" t="str">
        <f>IF(C$1&lt;VLOOKUP($A20,kritische_breedtes[#All],2,FALSE),"rood",IF(C$1&lt;VLOOKUP($A20,kritische_breedtes[#All],3,FALSE),"geel","groen"))</f>
        <v>rood</v>
      </c>
      <c r="D20" t="str">
        <f>IF(D$1&lt;VLOOKUP($A20,kritische_breedtes[#All],2,FALSE),"rood",IF(D$1&lt;VLOOKUP($A20,kritische_breedtes[#All],3,FALSE),"geel","groen"))</f>
        <v>rood</v>
      </c>
      <c r="E20" t="str">
        <f>IF(E$1&lt;VLOOKUP($A20,kritische_breedtes[#All],2,FALSE),"rood",IF(E$1&lt;VLOOKUP($A20,kritische_breedtes[#All],3,FALSE),"geel","groen"))</f>
        <v>rood</v>
      </c>
      <c r="F20" t="str">
        <f>IF(F$1&lt;VLOOKUP($A20,kritische_breedtes[#All],2,FALSE),"rood",IF(F$1&lt;VLOOKUP($A20,kritische_breedtes[#All],3,FALSE),"geel","groen"))</f>
        <v>rood</v>
      </c>
      <c r="G20" t="str">
        <f>IF(G$1&lt;VLOOKUP($A20,kritische_breedtes[#All],2,FALSE),"rood",IF(G$1&lt;VLOOKUP($A20,kritische_breedtes[#All],3,FALSE),"geel","groen"))</f>
        <v>rood</v>
      </c>
      <c r="H20" t="str">
        <f>IF(H$1&lt;VLOOKUP($A20,kritische_breedtes[#All],2,FALSE),"rood",IF(H$1&lt;VLOOKUP($A20,kritische_breedtes[#All],3,FALSE),"geel","groen"))</f>
        <v>rood</v>
      </c>
      <c r="I20" t="str">
        <f>IF(I$1&lt;VLOOKUP($A20,kritische_breedtes[#All],2,FALSE),"rood",IF(I$1&lt;VLOOKUP($A20,kritische_breedtes[#All],3,FALSE),"geel","groen"))</f>
        <v>rood</v>
      </c>
      <c r="J20" t="str">
        <f>IF(J$1&lt;VLOOKUP($A20,kritische_breedtes[#All],2,FALSE),"rood",IF(J$1&lt;VLOOKUP($A20,kritische_breedtes[#All],3,FALSE),"geel","groen"))</f>
        <v>rood</v>
      </c>
      <c r="K20" t="str">
        <f>IF(K$1&lt;VLOOKUP($A20,kritische_breedtes[#All],2,FALSE),"rood",IF(K$1&lt;VLOOKUP($A20,kritische_breedtes[#All],3,FALSE),"geel","groen"))</f>
        <v>rood</v>
      </c>
      <c r="L20" t="str">
        <f>IF(L$1&lt;VLOOKUP($A20,kritische_breedtes[#All],2,FALSE),"rood",IF(L$1&lt;VLOOKUP($A20,kritische_breedtes[#All],3,FALSE),"geel","groen"))</f>
        <v>rood</v>
      </c>
      <c r="M20" t="str">
        <f>IF(M$1&lt;VLOOKUP($A20,kritische_breedtes[#All],2,FALSE),"rood",IF(M$1&lt;VLOOKUP($A20,kritische_breedtes[#All],3,FALSE),"geel","groen"))</f>
        <v>rood</v>
      </c>
      <c r="N20" t="str">
        <f>IF(N$1&lt;VLOOKUP($A20,kritische_breedtes[#All],2,FALSE),"rood",IF(N$1&lt;VLOOKUP($A20,kritische_breedtes[#All],3,FALSE),"geel","groen"))</f>
        <v>geel</v>
      </c>
      <c r="O20" t="str">
        <f>IF(O$1&lt;VLOOKUP($A20,kritische_breedtes[#All],2,FALSE),"rood",IF(O$1&lt;VLOOKUP($A20,kritische_breedtes[#All],3,FALSE),"geel","groen"))</f>
        <v>geel</v>
      </c>
      <c r="P20" t="str">
        <f>IF(P$1&lt;VLOOKUP($A20,kritische_breedtes[#All],2,FALSE),"rood",IF(P$1&lt;VLOOKUP($A20,kritische_breedtes[#All],3,FALSE),"geel","groen"))</f>
        <v>geel</v>
      </c>
      <c r="Q20" t="str">
        <f>IF(Q$1&lt;VLOOKUP($A20,kritische_breedtes[#All],2,FALSE),"rood",IF(Q$1&lt;VLOOKUP($A20,kritische_breedtes[#All],3,FALSE),"geel","groen"))</f>
        <v>geel</v>
      </c>
      <c r="R20" t="str">
        <f>IF(R$1&lt;VLOOKUP($A20,kritische_breedtes[#All],2,FALSE),"rood",IF(R$1&lt;VLOOKUP($A20,kritische_breedtes[#All],3,FALSE),"geel","groen"))</f>
        <v>geel</v>
      </c>
      <c r="S20" t="str">
        <f>IF(S$1&lt;VLOOKUP($A20,kritische_breedtes[#All],2,FALSE),"rood",IF(S$1&lt;VLOOKUP($A20,kritische_breedtes[#All],3,FALSE),"geel","groen"))</f>
        <v>groen</v>
      </c>
      <c r="T20" t="str">
        <f>IF(T$1&lt;VLOOKUP($A20,kritische_breedtes[#All],2,FALSE),"rood",IF(T$1&lt;VLOOKUP($A20,kritische_breedtes[#All],3,FALSE),"geel","groen"))</f>
        <v>groen</v>
      </c>
      <c r="U20" t="str">
        <f>IF(U$1&lt;VLOOKUP($A20,kritische_breedtes[#All],2,FALSE),"rood",IF(U$1&lt;VLOOKUP($A20,kritische_breedtes[#All],3,FALSE),"geel","groen"))</f>
        <v>groen</v>
      </c>
      <c r="V20" t="str">
        <f>IF(V$1&lt;VLOOKUP($A20,kritische_breedtes[#All],2,FALSE),"rood",IF(V$1&lt;VLOOKUP($A20,kritische_breedtes[#All],3,FALSE),"geel","groen"))</f>
        <v>groen</v>
      </c>
      <c r="W20" t="str">
        <f>IF(W$1&lt;VLOOKUP($A20,kritische_breedtes[#All],2,FALSE),"rood",IF(W$1&lt;VLOOKUP($A20,kritische_breedtes[#All],3,FALSE),"geel","groen"))</f>
        <v>groen</v>
      </c>
      <c r="X20" t="str">
        <f>IF(X$1&lt;VLOOKUP($A20,kritische_breedtes[#All],2,FALSE),"rood",IF(X$1&lt;VLOOKUP($A20,kritische_breedtes[#All],3,FALSE),"geel","groen"))</f>
        <v>groen</v>
      </c>
      <c r="Y20" t="str">
        <f>IF(Y$1&lt;VLOOKUP($A20,kritische_breedtes[#All],2,FALSE),"rood",IF(Y$1&lt;VLOOKUP($A20,kritische_breedtes[#All],3,FALSE),"geel","groen"))</f>
        <v>groen</v>
      </c>
      <c r="Z20" t="str">
        <f>IF(Z$1&lt;VLOOKUP($A20,kritische_breedtes[#All],2,FALSE),"rood",IF(Z$1&lt;VLOOKUP($A20,kritische_breedtes[#All],3,FALSE),"geel","groen"))</f>
        <v>groen</v>
      </c>
      <c r="AA20" t="str">
        <f>IF(AA$1&lt;VLOOKUP($A20,kritische_breedtes[#All],2,FALSE),"rood",IF(AA$1&lt;VLOOKUP($A20,kritische_breedtes[#All],3,FALSE),"geel","groen"))</f>
        <v>groen</v>
      </c>
      <c r="AB20" t="str">
        <f>IF(AB$1&lt;VLOOKUP($A20,kritische_breedtes[#All],2,FALSE),"rood",IF(AB$1&lt;VLOOKUP($A20,kritische_breedtes[#All],3,FALSE),"geel","groen"))</f>
        <v>groen</v>
      </c>
      <c r="AC20" t="str">
        <f>IF(AC$1&lt;VLOOKUP($A20,kritische_breedtes[#All],2,FALSE),"rood",IF(AC$1&lt;VLOOKUP($A20,kritische_breedtes[#All],3,FALSE),"geel","groen"))</f>
        <v>groen</v>
      </c>
      <c r="AD20" t="str">
        <f>IF(AD$1&lt;VLOOKUP($A20,kritische_breedtes[#All],2,FALSE),"rood",IF(AD$1&lt;VLOOKUP($A20,kritische_breedtes[#All],3,FALSE),"geel","groen"))</f>
        <v>groen</v>
      </c>
    </row>
    <row r="21" spans="1:30">
      <c r="A21" t="s">
        <v>111</v>
      </c>
      <c r="B21">
        <f>B16*duofietsers_var1*(1-vrachtverkeer_var1)*duofietsers_var1</f>
        <v>0.17841983284313723</v>
      </c>
      <c r="C21" t="str">
        <f>IF(C$1&lt;VLOOKUP($A21,kritische_breedtes[#All],2,FALSE),"rood",IF(C$1&lt;VLOOKUP($A21,kritische_breedtes[#All],3,FALSE),"geel","groen"))</f>
        <v>rood</v>
      </c>
      <c r="D21" t="str">
        <f>IF(D$1&lt;VLOOKUP($A21,kritische_breedtes[#All],2,FALSE),"rood",IF(D$1&lt;VLOOKUP($A21,kritische_breedtes[#All],3,FALSE),"geel","groen"))</f>
        <v>rood</v>
      </c>
      <c r="E21" t="str">
        <f>IF(E$1&lt;VLOOKUP($A21,kritische_breedtes[#All],2,FALSE),"rood",IF(E$1&lt;VLOOKUP($A21,kritische_breedtes[#All],3,FALSE),"geel","groen"))</f>
        <v>rood</v>
      </c>
      <c r="F21" t="str">
        <f>IF(F$1&lt;VLOOKUP($A21,kritische_breedtes[#All],2,FALSE),"rood",IF(F$1&lt;VLOOKUP($A21,kritische_breedtes[#All],3,FALSE),"geel","groen"))</f>
        <v>rood</v>
      </c>
      <c r="G21" t="str">
        <f>IF(G$1&lt;VLOOKUP($A21,kritische_breedtes[#All],2,FALSE),"rood",IF(G$1&lt;VLOOKUP($A21,kritische_breedtes[#All],3,FALSE),"geel","groen"))</f>
        <v>rood</v>
      </c>
      <c r="H21" t="str">
        <f>IF(H$1&lt;VLOOKUP($A21,kritische_breedtes[#All],2,FALSE),"rood",IF(H$1&lt;VLOOKUP($A21,kritische_breedtes[#All],3,FALSE),"geel","groen"))</f>
        <v>rood</v>
      </c>
      <c r="I21" t="str">
        <f>IF(I$1&lt;VLOOKUP($A21,kritische_breedtes[#All],2,FALSE),"rood",IF(I$1&lt;VLOOKUP($A21,kritische_breedtes[#All],3,FALSE),"geel","groen"))</f>
        <v>rood</v>
      </c>
      <c r="J21" t="str">
        <f>IF(J$1&lt;VLOOKUP($A21,kritische_breedtes[#All],2,FALSE),"rood",IF(J$1&lt;VLOOKUP($A21,kritische_breedtes[#All],3,FALSE),"geel","groen"))</f>
        <v>rood</v>
      </c>
      <c r="K21" t="str">
        <f>IF(K$1&lt;VLOOKUP($A21,kritische_breedtes[#All],2,FALSE),"rood",IF(K$1&lt;VLOOKUP($A21,kritische_breedtes[#All],3,FALSE),"geel","groen"))</f>
        <v>rood</v>
      </c>
      <c r="L21" t="str">
        <f>IF(L$1&lt;VLOOKUP($A21,kritische_breedtes[#All],2,FALSE),"rood",IF(L$1&lt;VLOOKUP($A21,kritische_breedtes[#All],3,FALSE),"geel","groen"))</f>
        <v>rood</v>
      </c>
      <c r="M21" t="str">
        <f>IF(M$1&lt;VLOOKUP($A21,kritische_breedtes[#All],2,FALSE),"rood",IF(M$1&lt;VLOOKUP($A21,kritische_breedtes[#All],3,FALSE),"geel","groen"))</f>
        <v>rood</v>
      </c>
      <c r="N21" t="str">
        <f>IF(N$1&lt;VLOOKUP($A21,kritische_breedtes[#All],2,FALSE),"rood",IF(N$1&lt;VLOOKUP($A21,kritische_breedtes[#All],3,FALSE),"geel","groen"))</f>
        <v>geel</v>
      </c>
      <c r="O21" t="str">
        <f>IF(O$1&lt;VLOOKUP($A21,kritische_breedtes[#All],2,FALSE),"rood",IF(O$1&lt;VLOOKUP($A21,kritische_breedtes[#All],3,FALSE),"geel","groen"))</f>
        <v>geel</v>
      </c>
      <c r="P21" t="str">
        <f>IF(P$1&lt;VLOOKUP($A21,kritische_breedtes[#All],2,FALSE),"rood",IF(P$1&lt;VLOOKUP($A21,kritische_breedtes[#All],3,FALSE),"geel","groen"))</f>
        <v>geel</v>
      </c>
      <c r="Q21" t="str">
        <f>IF(Q$1&lt;VLOOKUP($A21,kritische_breedtes[#All],2,FALSE),"rood",IF(Q$1&lt;VLOOKUP($A21,kritische_breedtes[#All],3,FALSE),"geel","groen"))</f>
        <v>geel</v>
      </c>
      <c r="R21" t="str">
        <f>IF(R$1&lt;VLOOKUP($A21,kritische_breedtes[#All],2,FALSE),"rood",IF(R$1&lt;VLOOKUP($A21,kritische_breedtes[#All],3,FALSE),"geel","groen"))</f>
        <v>geel</v>
      </c>
      <c r="S21" t="str">
        <f>IF(S$1&lt;VLOOKUP($A21,kritische_breedtes[#All],2,FALSE),"rood",IF(S$1&lt;VLOOKUP($A21,kritische_breedtes[#All],3,FALSE),"geel","groen"))</f>
        <v>groen</v>
      </c>
      <c r="T21" t="str">
        <f>IF(T$1&lt;VLOOKUP($A21,kritische_breedtes[#All],2,FALSE),"rood",IF(T$1&lt;VLOOKUP($A21,kritische_breedtes[#All],3,FALSE),"geel","groen"))</f>
        <v>groen</v>
      </c>
      <c r="U21" t="str">
        <f>IF(U$1&lt;VLOOKUP($A21,kritische_breedtes[#All],2,FALSE),"rood",IF(U$1&lt;VLOOKUP($A21,kritische_breedtes[#All],3,FALSE),"geel","groen"))</f>
        <v>groen</v>
      </c>
      <c r="V21" t="str">
        <f>IF(V$1&lt;VLOOKUP($A21,kritische_breedtes[#All],2,FALSE),"rood",IF(V$1&lt;VLOOKUP($A21,kritische_breedtes[#All],3,FALSE),"geel","groen"))</f>
        <v>groen</v>
      </c>
      <c r="W21" t="str">
        <f>IF(W$1&lt;VLOOKUP($A21,kritische_breedtes[#All],2,FALSE),"rood",IF(W$1&lt;VLOOKUP($A21,kritische_breedtes[#All],3,FALSE),"geel","groen"))</f>
        <v>groen</v>
      </c>
      <c r="X21" t="str">
        <f>IF(X$1&lt;VLOOKUP($A21,kritische_breedtes[#All],2,FALSE),"rood",IF(X$1&lt;VLOOKUP($A21,kritische_breedtes[#All],3,FALSE),"geel","groen"))</f>
        <v>groen</v>
      </c>
      <c r="Y21" t="str">
        <f>IF(Y$1&lt;VLOOKUP($A21,kritische_breedtes[#All],2,FALSE),"rood",IF(Y$1&lt;VLOOKUP($A21,kritische_breedtes[#All],3,FALSE),"geel","groen"))</f>
        <v>groen</v>
      </c>
      <c r="Z21" t="str">
        <f>IF(Z$1&lt;VLOOKUP($A21,kritische_breedtes[#All],2,FALSE),"rood",IF(Z$1&lt;VLOOKUP($A21,kritische_breedtes[#All],3,FALSE),"geel","groen"))</f>
        <v>groen</v>
      </c>
      <c r="AA21" t="str">
        <f>IF(AA$1&lt;VLOOKUP($A21,kritische_breedtes[#All],2,FALSE),"rood",IF(AA$1&lt;VLOOKUP($A21,kritische_breedtes[#All],3,FALSE),"geel","groen"))</f>
        <v>groen</v>
      </c>
      <c r="AB21" t="str">
        <f>IF(AB$1&lt;VLOOKUP($A21,kritische_breedtes[#All],2,FALSE),"rood",IF(AB$1&lt;VLOOKUP($A21,kritische_breedtes[#All],3,FALSE),"geel","groen"))</f>
        <v>groen</v>
      </c>
      <c r="AC21" t="str">
        <f>IF(AC$1&lt;VLOOKUP($A21,kritische_breedtes[#All],2,FALSE),"rood",IF(AC$1&lt;VLOOKUP($A21,kritische_breedtes[#All],3,FALSE),"geel","groen"))</f>
        <v>groen</v>
      </c>
      <c r="AD21" t="str">
        <f>IF(AD$1&lt;VLOOKUP($A21,kritische_breedtes[#All],2,FALSE),"rood",IF(AD$1&lt;VLOOKUP($A21,kritische_breedtes[#All],3,FALSE),"geel","groen"))</f>
        <v>groen</v>
      </c>
    </row>
    <row r="22" spans="1:30">
      <c r="A22" t="s">
        <v>113</v>
      </c>
      <c r="B22">
        <f>B16*duofietsers_var1*vrachtverkeer_var1*duofietsers_var1</f>
        <v>3.6412210784313721E-3</v>
      </c>
      <c r="C22" t="str">
        <f>IF(C$1&lt;VLOOKUP($A22,kritische_breedtes[#All],2,FALSE),"rood",IF(C$1&lt;VLOOKUP($A22,kritische_breedtes[#All],3,FALSE),"geel","groen"))</f>
        <v>rood</v>
      </c>
      <c r="D22" t="str">
        <f>IF(D$1&lt;VLOOKUP($A22,kritische_breedtes[#All],2,FALSE),"rood",IF(D$1&lt;VLOOKUP($A22,kritische_breedtes[#All],3,FALSE),"geel","groen"))</f>
        <v>rood</v>
      </c>
      <c r="E22" t="str">
        <f>IF(E$1&lt;VLOOKUP($A22,kritische_breedtes[#All],2,FALSE),"rood",IF(E$1&lt;VLOOKUP($A22,kritische_breedtes[#All],3,FALSE),"geel","groen"))</f>
        <v>rood</v>
      </c>
      <c r="F22" t="str">
        <f>IF(F$1&lt;VLOOKUP($A22,kritische_breedtes[#All],2,FALSE),"rood",IF(F$1&lt;VLOOKUP($A22,kritische_breedtes[#All],3,FALSE),"geel","groen"))</f>
        <v>rood</v>
      </c>
      <c r="G22" t="str">
        <f>IF(G$1&lt;VLOOKUP($A22,kritische_breedtes[#All],2,FALSE),"rood",IF(G$1&lt;VLOOKUP($A22,kritische_breedtes[#All],3,FALSE),"geel","groen"))</f>
        <v>rood</v>
      </c>
      <c r="H22" t="str">
        <f>IF(H$1&lt;VLOOKUP($A22,kritische_breedtes[#All],2,FALSE),"rood",IF(H$1&lt;VLOOKUP($A22,kritische_breedtes[#All],3,FALSE),"geel","groen"))</f>
        <v>rood</v>
      </c>
      <c r="I22" t="str">
        <f>IF(I$1&lt;VLOOKUP($A22,kritische_breedtes[#All],2,FALSE),"rood",IF(I$1&lt;VLOOKUP($A22,kritische_breedtes[#All],3,FALSE),"geel","groen"))</f>
        <v>rood</v>
      </c>
      <c r="J22" t="str">
        <f>IF(J$1&lt;VLOOKUP($A22,kritische_breedtes[#All],2,FALSE),"rood",IF(J$1&lt;VLOOKUP($A22,kritische_breedtes[#All],3,FALSE),"geel","groen"))</f>
        <v>rood</v>
      </c>
      <c r="K22" t="str">
        <f>IF(K$1&lt;VLOOKUP($A22,kritische_breedtes[#All],2,FALSE),"rood",IF(K$1&lt;VLOOKUP($A22,kritische_breedtes[#All],3,FALSE),"geel","groen"))</f>
        <v>rood</v>
      </c>
      <c r="L22" t="str">
        <f>IF(L$1&lt;VLOOKUP($A22,kritische_breedtes[#All],2,FALSE),"rood",IF(L$1&lt;VLOOKUP($A22,kritische_breedtes[#All],3,FALSE),"geel","groen"))</f>
        <v>rood</v>
      </c>
      <c r="M22" t="str">
        <f>IF(M$1&lt;VLOOKUP($A22,kritische_breedtes[#All],2,FALSE),"rood",IF(M$1&lt;VLOOKUP($A22,kritische_breedtes[#All],3,FALSE),"geel","groen"))</f>
        <v>rood</v>
      </c>
      <c r="N22" t="str">
        <f>IF(N$1&lt;VLOOKUP($A22,kritische_breedtes[#All],2,FALSE),"rood",IF(N$1&lt;VLOOKUP($A22,kritische_breedtes[#All],3,FALSE),"geel","groen"))</f>
        <v>rood</v>
      </c>
      <c r="O22" t="str">
        <f>IF(O$1&lt;VLOOKUP($A22,kritische_breedtes[#All],2,FALSE),"rood",IF(O$1&lt;VLOOKUP($A22,kritische_breedtes[#All],3,FALSE),"geel","groen"))</f>
        <v>rood</v>
      </c>
      <c r="P22" t="str">
        <f>IF(P$1&lt;VLOOKUP($A22,kritische_breedtes[#All],2,FALSE),"rood",IF(P$1&lt;VLOOKUP($A22,kritische_breedtes[#All],3,FALSE),"geel","groen"))</f>
        <v>rood</v>
      </c>
      <c r="Q22" t="str">
        <f>IF(Q$1&lt;VLOOKUP($A22,kritische_breedtes[#All],2,FALSE),"rood",IF(Q$1&lt;VLOOKUP($A22,kritische_breedtes[#All],3,FALSE),"geel","groen"))</f>
        <v>rood</v>
      </c>
      <c r="R22" t="str">
        <f>IF(R$1&lt;VLOOKUP($A22,kritische_breedtes[#All],2,FALSE),"rood",IF(R$1&lt;VLOOKUP($A22,kritische_breedtes[#All],3,FALSE),"geel","groen"))</f>
        <v>geel</v>
      </c>
      <c r="S22" t="str">
        <f>IF(S$1&lt;VLOOKUP($A22,kritische_breedtes[#All],2,FALSE),"rood",IF(S$1&lt;VLOOKUP($A22,kritische_breedtes[#All],3,FALSE),"geel","groen"))</f>
        <v>geel</v>
      </c>
      <c r="T22" t="str">
        <f>IF(T$1&lt;VLOOKUP($A22,kritische_breedtes[#All],2,FALSE),"rood",IF(T$1&lt;VLOOKUP($A22,kritische_breedtes[#All],3,FALSE),"geel","groen"))</f>
        <v>geel</v>
      </c>
      <c r="U22" t="str">
        <f>IF(U$1&lt;VLOOKUP($A22,kritische_breedtes[#All],2,FALSE),"rood",IF(U$1&lt;VLOOKUP($A22,kritische_breedtes[#All],3,FALSE),"geel","groen"))</f>
        <v>geel</v>
      </c>
      <c r="V22" t="str">
        <f>IF(V$1&lt;VLOOKUP($A22,kritische_breedtes[#All],2,FALSE),"rood",IF(V$1&lt;VLOOKUP($A22,kritische_breedtes[#All],3,FALSE),"geel","groen"))</f>
        <v>geel</v>
      </c>
      <c r="W22" t="str">
        <f>IF(W$1&lt;VLOOKUP($A22,kritische_breedtes[#All],2,FALSE),"rood",IF(W$1&lt;VLOOKUP($A22,kritische_breedtes[#All],3,FALSE),"geel","groen"))</f>
        <v>groen</v>
      </c>
      <c r="X22" t="str">
        <f>IF(X$1&lt;VLOOKUP($A22,kritische_breedtes[#All],2,FALSE),"rood",IF(X$1&lt;VLOOKUP($A22,kritische_breedtes[#All],3,FALSE),"geel","groen"))</f>
        <v>groen</v>
      </c>
      <c r="Y22" t="str">
        <f>IF(Y$1&lt;VLOOKUP($A22,kritische_breedtes[#All],2,FALSE),"rood",IF(Y$1&lt;VLOOKUP($A22,kritische_breedtes[#All],3,FALSE),"geel","groen"))</f>
        <v>groen</v>
      </c>
      <c r="Z22" t="str">
        <f>IF(Z$1&lt;VLOOKUP($A22,kritische_breedtes[#All],2,FALSE),"rood",IF(Z$1&lt;VLOOKUP($A22,kritische_breedtes[#All],3,FALSE),"geel","groen"))</f>
        <v>groen</v>
      </c>
      <c r="AA22" t="str">
        <f>IF(AA$1&lt;VLOOKUP($A22,kritische_breedtes[#All],2,FALSE),"rood",IF(AA$1&lt;VLOOKUP($A22,kritische_breedtes[#All],3,FALSE),"geel","groen"))</f>
        <v>groen</v>
      </c>
      <c r="AB22" t="str">
        <f>IF(AB$1&lt;VLOOKUP($A22,kritische_breedtes[#All],2,FALSE),"rood",IF(AB$1&lt;VLOOKUP($A22,kritische_breedtes[#All],3,FALSE),"geel","groen"))</f>
        <v>groen</v>
      </c>
      <c r="AC22" t="str">
        <f>IF(AC$1&lt;VLOOKUP($A22,kritische_breedtes[#All],2,FALSE),"rood",IF(AC$1&lt;VLOOKUP($A22,kritische_breedtes[#All],3,FALSE),"geel","groen"))</f>
        <v>groen</v>
      </c>
      <c r="AD22" t="str">
        <f>IF(AD$1&lt;VLOOKUP($A22,kritische_breedtes[#All],2,FALSE),"rood",IF(AD$1&lt;VLOOKUP($A22,kritische_breedtes[#All],3,FALSE),"geel","groen"))</f>
        <v>groen</v>
      </c>
    </row>
    <row r="24" spans="1:30">
      <c r="A24" t="s">
        <v>186</v>
      </c>
      <c r="B24">
        <f>MAX(0,i_fiets_sec_ri1_var1*i_auto_sec_ri1_var1*(t_fiets_var1-t_auto_var1)*i_auto_sec_ri2_var1*t_inhalen*periode+i_fiets_sec_ri2_var1*i_auto_sec_ri2_var1*(t_fiets_var1-t_auto_var1)*i_auto_sec_ri1_var1*t_inhalen*periode-B32)</f>
        <v>18.206105392156857</v>
      </c>
    </row>
    <row r="25" spans="1:30">
      <c r="A25" t="s">
        <v>120</v>
      </c>
      <c r="B25">
        <f>B24*(1-duofietsers_var1)*(1-vrachtverkeer_var1)*(1-vrachtverkeer_var1)</f>
        <v>15.736629256764701</v>
      </c>
      <c r="C25" t="str">
        <f>IF(C$1&lt;VLOOKUP($A25,kritische_breedtes[#All],2,FALSE),"rood",IF(C$1&lt;VLOOKUP($A25,kritische_breedtes[#All],3,FALSE),"geel","groen"))</f>
        <v>rood</v>
      </c>
      <c r="D25" t="str">
        <f>IF(D$1&lt;VLOOKUP($A25,kritische_breedtes[#All],2,FALSE),"rood",IF(D$1&lt;VLOOKUP($A25,kritische_breedtes[#All],3,FALSE),"geel","groen"))</f>
        <v>rood</v>
      </c>
      <c r="E25" t="str">
        <f>IF(E$1&lt;VLOOKUP($A25,kritische_breedtes[#All],2,FALSE),"rood",IF(E$1&lt;VLOOKUP($A25,kritische_breedtes[#All],3,FALSE),"geel","groen"))</f>
        <v>rood</v>
      </c>
      <c r="F25" t="str">
        <f>IF(F$1&lt;VLOOKUP($A25,kritische_breedtes[#All],2,FALSE),"rood",IF(F$1&lt;VLOOKUP($A25,kritische_breedtes[#All],3,FALSE),"geel","groen"))</f>
        <v>rood</v>
      </c>
      <c r="G25" t="str">
        <f>IF(G$1&lt;VLOOKUP($A25,kritische_breedtes[#All],2,FALSE),"rood",IF(G$1&lt;VLOOKUP($A25,kritische_breedtes[#All],3,FALSE),"geel","groen"))</f>
        <v>rood</v>
      </c>
      <c r="H25" t="str">
        <f>IF(H$1&lt;VLOOKUP($A25,kritische_breedtes[#All],2,FALSE),"rood",IF(H$1&lt;VLOOKUP($A25,kritische_breedtes[#All],3,FALSE),"geel","groen"))</f>
        <v>rood</v>
      </c>
      <c r="I25" t="str">
        <f>IF(I$1&lt;VLOOKUP($A25,kritische_breedtes[#All],2,FALSE),"rood",IF(I$1&lt;VLOOKUP($A25,kritische_breedtes[#All],3,FALSE),"geel","groen"))</f>
        <v>geel</v>
      </c>
      <c r="J25" t="str">
        <f>IF(J$1&lt;VLOOKUP($A25,kritische_breedtes[#All],2,FALSE),"rood",IF(J$1&lt;VLOOKUP($A25,kritische_breedtes[#All],3,FALSE),"geel","groen"))</f>
        <v>geel</v>
      </c>
      <c r="K25" t="str">
        <f>IF(K$1&lt;VLOOKUP($A25,kritische_breedtes[#All],2,FALSE),"rood",IF(K$1&lt;VLOOKUP($A25,kritische_breedtes[#All],3,FALSE),"geel","groen"))</f>
        <v>geel</v>
      </c>
      <c r="L25" t="str">
        <f>IF(L$1&lt;VLOOKUP($A25,kritische_breedtes[#All],2,FALSE),"rood",IF(L$1&lt;VLOOKUP($A25,kritische_breedtes[#All],3,FALSE),"geel","groen"))</f>
        <v>geel</v>
      </c>
      <c r="M25" t="str">
        <f>IF(M$1&lt;VLOOKUP($A25,kritische_breedtes[#All],2,FALSE),"rood",IF(M$1&lt;VLOOKUP($A25,kritische_breedtes[#All],3,FALSE),"geel","groen"))</f>
        <v>groen</v>
      </c>
      <c r="N25" t="str">
        <f>IF(N$1&lt;VLOOKUP($A25,kritische_breedtes[#All],2,FALSE),"rood",IF(N$1&lt;VLOOKUP($A25,kritische_breedtes[#All],3,FALSE),"geel","groen"))</f>
        <v>groen</v>
      </c>
      <c r="O25" t="str">
        <f>IF(O$1&lt;VLOOKUP($A25,kritische_breedtes[#All],2,FALSE),"rood",IF(O$1&lt;VLOOKUP($A25,kritische_breedtes[#All],3,FALSE),"geel","groen"))</f>
        <v>groen</v>
      </c>
      <c r="P25" t="str">
        <f>IF(P$1&lt;VLOOKUP($A25,kritische_breedtes[#All],2,FALSE),"rood",IF(P$1&lt;VLOOKUP($A25,kritische_breedtes[#All],3,FALSE),"geel","groen"))</f>
        <v>groen</v>
      </c>
      <c r="Q25" t="str">
        <f>IF(Q$1&lt;VLOOKUP($A25,kritische_breedtes[#All],2,FALSE),"rood",IF(Q$1&lt;VLOOKUP($A25,kritische_breedtes[#All],3,FALSE),"geel","groen"))</f>
        <v>groen</v>
      </c>
      <c r="R25" t="str">
        <f>IF(R$1&lt;VLOOKUP($A25,kritische_breedtes[#All],2,FALSE),"rood",IF(R$1&lt;VLOOKUP($A25,kritische_breedtes[#All],3,FALSE),"geel","groen"))</f>
        <v>groen</v>
      </c>
      <c r="S25" t="str">
        <f>IF(S$1&lt;VLOOKUP($A25,kritische_breedtes[#All],2,FALSE),"rood",IF(S$1&lt;VLOOKUP($A25,kritische_breedtes[#All],3,FALSE),"geel","groen"))</f>
        <v>groen</v>
      </c>
      <c r="T25" t="str">
        <f>IF(T$1&lt;VLOOKUP($A25,kritische_breedtes[#All],2,FALSE),"rood",IF(T$1&lt;VLOOKUP($A25,kritische_breedtes[#All],3,FALSE),"geel","groen"))</f>
        <v>groen</v>
      </c>
      <c r="U25" t="str">
        <f>IF(U$1&lt;VLOOKUP($A25,kritische_breedtes[#All],2,FALSE),"rood",IF(U$1&lt;VLOOKUP($A25,kritische_breedtes[#All],3,FALSE),"geel","groen"))</f>
        <v>groen</v>
      </c>
      <c r="V25" t="str">
        <f>IF(V$1&lt;VLOOKUP($A25,kritische_breedtes[#All],2,FALSE),"rood",IF(V$1&lt;VLOOKUP($A25,kritische_breedtes[#All],3,FALSE),"geel","groen"))</f>
        <v>groen</v>
      </c>
      <c r="W25" t="str">
        <f>IF(W$1&lt;VLOOKUP($A25,kritische_breedtes[#All],2,FALSE),"rood",IF(W$1&lt;VLOOKUP($A25,kritische_breedtes[#All],3,FALSE),"geel","groen"))</f>
        <v>groen</v>
      </c>
      <c r="X25" t="str">
        <f>IF(X$1&lt;VLOOKUP($A25,kritische_breedtes[#All],2,FALSE),"rood",IF(X$1&lt;VLOOKUP($A25,kritische_breedtes[#All],3,FALSE),"geel","groen"))</f>
        <v>groen</v>
      </c>
      <c r="Y25" t="str">
        <f>IF(Y$1&lt;VLOOKUP($A25,kritische_breedtes[#All],2,FALSE),"rood",IF(Y$1&lt;VLOOKUP($A25,kritische_breedtes[#All],3,FALSE),"geel","groen"))</f>
        <v>groen</v>
      </c>
      <c r="Z25" t="str">
        <f>IF(Z$1&lt;VLOOKUP($A25,kritische_breedtes[#All],2,FALSE),"rood",IF(Z$1&lt;VLOOKUP($A25,kritische_breedtes[#All],3,FALSE),"geel","groen"))</f>
        <v>groen</v>
      </c>
      <c r="AA25" t="str">
        <f>IF(AA$1&lt;VLOOKUP($A25,kritische_breedtes[#All],2,FALSE),"rood",IF(AA$1&lt;VLOOKUP($A25,kritische_breedtes[#All],3,FALSE),"geel","groen"))</f>
        <v>groen</v>
      </c>
      <c r="AB25" t="str">
        <f>IF(AB$1&lt;VLOOKUP($A25,kritische_breedtes[#All],2,FALSE),"rood",IF(AB$1&lt;VLOOKUP($A25,kritische_breedtes[#All],3,FALSE),"geel","groen"))</f>
        <v>groen</v>
      </c>
      <c r="AC25" t="str">
        <f>IF(AC$1&lt;VLOOKUP($A25,kritische_breedtes[#All],2,FALSE),"rood",IF(AC$1&lt;VLOOKUP($A25,kritische_breedtes[#All],3,FALSE),"geel","groen"))</f>
        <v>groen</v>
      </c>
      <c r="AD25" t="str">
        <f>IF(AD$1&lt;VLOOKUP($A25,kritische_breedtes[#All],2,FALSE),"rood",IF(AD$1&lt;VLOOKUP($A25,kritische_breedtes[#All],3,FALSE),"geel","groen"))</f>
        <v>groen</v>
      </c>
    </row>
    <row r="26" spans="1:30">
      <c r="A26" t="s">
        <v>123</v>
      </c>
      <c r="B26">
        <f>B24*(1-duofietsers_var1)*(1-vrachtverkeer_var1)*vrachtverkeer_var1+B24*(1-duofietsers_var1)*vrachtverkeer_var1*(1-vrachtverkeer_var1)</f>
        <v>0.64231139823529393</v>
      </c>
      <c r="C26" t="str">
        <f>IF(C$1&lt;VLOOKUP($A26,kritische_breedtes[#All],2,FALSE),"rood",IF(C$1&lt;VLOOKUP($A26,kritische_breedtes[#All],3,FALSE),"geel","groen"))</f>
        <v>rood</v>
      </c>
      <c r="D26" t="str">
        <f>IF(D$1&lt;VLOOKUP($A26,kritische_breedtes[#All],2,FALSE),"rood",IF(D$1&lt;VLOOKUP($A26,kritische_breedtes[#All],3,FALSE),"geel","groen"))</f>
        <v>rood</v>
      </c>
      <c r="E26" t="str">
        <f>IF(E$1&lt;VLOOKUP($A26,kritische_breedtes[#All],2,FALSE),"rood",IF(E$1&lt;VLOOKUP($A26,kritische_breedtes[#All],3,FALSE),"geel","groen"))</f>
        <v>rood</v>
      </c>
      <c r="F26" t="str">
        <f>IF(F$1&lt;VLOOKUP($A26,kritische_breedtes[#All],2,FALSE),"rood",IF(F$1&lt;VLOOKUP($A26,kritische_breedtes[#All],3,FALSE),"geel","groen"))</f>
        <v>rood</v>
      </c>
      <c r="G26" t="str">
        <f>IF(G$1&lt;VLOOKUP($A26,kritische_breedtes[#All],2,FALSE),"rood",IF(G$1&lt;VLOOKUP($A26,kritische_breedtes[#All],3,FALSE),"geel","groen"))</f>
        <v>rood</v>
      </c>
      <c r="H26" t="str">
        <f>IF(H$1&lt;VLOOKUP($A26,kritische_breedtes[#All],2,FALSE),"rood",IF(H$1&lt;VLOOKUP($A26,kritische_breedtes[#All],3,FALSE),"geel","groen"))</f>
        <v>rood</v>
      </c>
      <c r="I26" t="str">
        <f>IF(I$1&lt;VLOOKUP($A26,kritische_breedtes[#All],2,FALSE),"rood",IF(I$1&lt;VLOOKUP($A26,kritische_breedtes[#All],3,FALSE),"geel","groen"))</f>
        <v>rood</v>
      </c>
      <c r="J26" t="str">
        <f>IF(J$1&lt;VLOOKUP($A26,kritische_breedtes[#All],2,FALSE),"rood",IF(J$1&lt;VLOOKUP($A26,kritische_breedtes[#All],3,FALSE),"geel","groen"))</f>
        <v>rood</v>
      </c>
      <c r="K26" t="str">
        <f>IF(K$1&lt;VLOOKUP($A26,kritische_breedtes[#All],2,FALSE),"rood",IF(K$1&lt;VLOOKUP($A26,kritische_breedtes[#All],3,FALSE),"geel","groen"))</f>
        <v>rood</v>
      </c>
      <c r="L26" t="str">
        <f>IF(L$1&lt;VLOOKUP($A26,kritische_breedtes[#All],2,FALSE),"rood",IF(L$1&lt;VLOOKUP($A26,kritische_breedtes[#All],3,FALSE),"geel","groen"))</f>
        <v>geel</v>
      </c>
      <c r="M26" t="str">
        <f>IF(M$1&lt;VLOOKUP($A26,kritische_breedtes[#All],2,FALSE),"rood",IF(M$1&lt;VLOOKUP($A26,kritische_breedtes[#All],3,FALSE),"geel","groen"))</f>
        <v>geel</v>
      </c>
      <c r="N26" t="str">
        <f>IF(N$1&lt;VLOOKUP($A26,kritische_breedtes[#All],2,FALSE),"rood",IF(N$1&lt;VLOOKUP($A26,kritische_breedtes[#All],3,FALSE),"geel","groen"))</f>
        <v>geel</v>
      </c>
      <c r="O26" t="str">
        <f>IF(O$1&lt;VLOOKUP($A26,kritische_breedtes[#All],2,FALSE),"rood",IF(O$1&lt;VLOOKUP($A26,kritische_breedtes[#All],3,FALSE),"geel","groen"))</f>
        <v>geel</v>
      </c>
      <c r="P26" t="str">
        <f>IF(P$1&lt;VLOOKUP($A26,kritische_breedtes[#All],2,FALSE),"rood",IF(P$1&lt;VLOOKUP($A26,kritische_breedtes[#All],3,FALSE),"geel","groen"))</f>
        <v>geel</v>
      </c>
      <c r="Q26" t="str">
        <f>IF(Q$1&lt;VLOOKUP($A26,kritische_breedtes[#All],2,FALSE),"rood",IF(Q$1&lt;VLOOKUP($A26,kritische_breedtes[#All],3,FALSE),"geel","groen"))</f>
        <v>groen</v>
      </c>
      <c r="R26" t="str">
        <f>IF(R$1&lt;VLOOKUP($A26,kritische_breedtes[#All],2,FALSE),"rood",IF(R$1&lt;VLOOKUP($A26,kritische_breedtes[#All],3,FALSE),"geel","groen"))</f>
        <v>groen</v>
      </c>
      <c r="S26" t="str">
        <f>IF(S$1&lt;VLOOKUP($A26,kritische_breedtes[#All],2,FALSE),"rood",IF(S$1&lt;VLOOKUP($A26,kritische_breedtes[#All],3,FALSE),"geel","groen"))</f>
        <v>groen</v>
      </c>
      <c r="T26" t="str">
        <f>IF(T$1&lt;VLOOKUP($A26,kritische_breedtes[#All],2,FALSE),"rood",IF(T$1&lt;VLOOKUP($A26,kritische_breedtes[#All],3,FALSE),"geel","groen"))</f>
        <v>groen</v>
      </c>
      <c r="U26" t="str">
        <f>IF(U$1&lt;VLOOKUP($A26,kritische_breedtes[#All],2,FALSE),"rood",IF(U$1&lt;VLOOKUP($A26,kritische_breedtes[#All],3,FALSE),"geel","groen"))</f>
        <v>groen</v>
      </c>
      <c r="V26" t="str">
        <f>IF(V$1&lt;VLOOKUP($A26,kritische_breedtes[#All],2,FALSE),"rood",IF(V$1&lt;VLOOKUP($A26,kritische_breedtes[#All],3,FALSE),"geel","groen"))</f>
        <v>groen</v>
      </c>
      <c r="W26" t="str">
        <f>IF(W$1&lt;VLOOKUP($A26,kritische_breedtes[#All],2,FALSE),"rood",IF(W$1&lt;VLOOKUP($A26,kritische_breedtes[#All],3,FALSE),"geel","groen"))</f>
        <v>groen</v>
      </c>
      <c r="X26" t="str">
        <f>IF(X$1&lt;VLOOKUP($A26,kritische_breedtes[#All],2,FALSE),"rood",IF(X$1&lt;VLOOKUP($A26,kritische_breedtes[#All],3,FALSE),"geel","groen"))</f>
        <v>groen</v>
      </c>
      <c r="Y26" t="str">
        <f>IF(Y$1&lt;VLOOKUP($A26,kritische_breedtes[#All],2,FALSE),"rood",IF(Y$1&lt;VLOOKUP($A26,kritische_breedtes[#All],3,FALSE),"geel","groen"))</f>
        <v>groen</v>
      </c>
      <c r="Z26" t="str">
        <f>IF(Z$1&lt;VLOOKUP($A26,kritische_breedtes[#All],2,FALSE),"rood",IF(Z$1&lt;VLOOKUP($A26,kritische_breedtes[#All],3,FALSE),"geel","groen"))</f>
        <v>groen</v>
      </c>
      <c r="AA26" t="str">
        <f>IF(AA$1&lt;VLOOKUP($A26,kritische_breedtes[#All],2,FALSE),"rood",IF(AA$1&lt;VLOOKUP($A26,kritische_breedtes[#All],3,FALSE),"geel","groen"))</f>
        <v>groen</v>
      </c>
      <c r="AB26" t="str">
        <f>IF(AB$1&lt;VLOOKUP($A26,kritische_breedtes[#All],2,FALSE),"rood",IF(AB$1&lt;VLOOKUP($A26,kritische_breedtes[#All],3,FALSE),"geel","groen"))</f>
        <v>groen</v>
      </c>
      <c r="AC26" t="str">
        <f>IF(AC$1&lt;VLOOKUP($A26,kritische_breedtes[#All],2,FALSE),"rood",IF(AC$1&lt;VLOOKUP($A26,kritische_breedtes[#All],3,FALSE),"geel","groen"))</f>
        <v>groen</v>
      </c>
      <c r="AD26" t="str">
        <f>IF(AD$1&lt;VLOOKUP($A26,kritische_breedtes[#All],2,FALSE),"rood",IF(AD$1&lt;VLOOKUP($A26,kritische_breedtes[#All],3,FALSE),"geel","groen"))</f>
        <v>groen</v>
      </c>
    </row>
    <row r="27" spans="1:30">
      <c r="A27" t="s">
        <v>127</v>
      </c>
      <c r="B27">
        <f>B24*(1-duofietsers_var1)*vrachtverkeer_var1*vrachtverkeer_var1</f>
        <v>6.5541979411764687E-3</v>
      </c>
      <c r="C27" t="str">
        <f>IF(C$1&lt;VLOOKUP($A27,kritische_breedtes[#All],2,FALSE),"rood",IF(C$1&lt;VLOOKUP($A27,kritische_breedtes[#All],3,FALSE),"geel","groen"))</f>
        <v>rood</v>
      </c>
      <c r="D27" t="str">
        <f>IF(D$1&lt;VLOOKUP($A27,kritische_breedtes[#All],2,FALSE),"rood",IF(D$1&lt;VLOOKUP($A27,kritische_breedtes[#All],3,FALSE),"geel","groen"))</f>
        <v>rood</v>
      </c>
      <c r="E27" t="str">
        <f>IF(E$1&lt;VLOOKUP($A27,kritische_breedtes[#All],2,FALSE),"rood",IF(E$1&lt;VLOOKUP($A27,kritische_breedtes[#All],3,FALSE),"geel","groen"))</f>
        <v>rood</v>
      </c>
      <c r="F27" t="str">
        <f>IF(F$1&lt;VLOOKUP($A27,kritische_breedtes[#All],2,FALSE),"rood",IF(F$1&lt;VLOOKUP($A27,kritische_breedtes[#All],3,FALSE),"geel","groen"))</f>
        <v>rood</v>
      </c>
      <c r="G27" t="str">
        <f>IF(G$1&lt;VLOOKUP($A27,kritische_breedtes[#All],2,FALSE),"rood",IF(G$1&lt;VLOOKUP($A27,kritische_breedtes[#All],3,FALSE),"geel","groen"))</f>
        <v>rood</v>
      </c>
      <c r="H27" t="str">
        <f>IF(H$1&lt;VLOOKUP($A27,kritische_breedtes[#All],2,FALSE),"rood",IF(H$1&lt;VLOOKUP($A27,kritische_breedtes[#All],3,FALSE),"geel","groen"))</f>
        <v>rood</v>
      </c>
      <c r="I27" t="str">
        <f>IF(I$1&lt;VLOOKUP($A27,kritische_breedtes[#All],2,FALSE),"rood",IF(I$1&lt;VLOOKUP($A27,kritische_breedtes[#All],3,FALSE),"geel","groen"))</f>
        <v>rood</v>
      </c>
      <c r="J27" t="str">
        <f>IF(J$1&lt;VLOOKUP($A27,kritische_breedtes[#All],2,FALSE),"rood",IF(J$1&lt;VLOOKUP($A27,kritische_breedtes[#All],3,FALSE),"geel","groen"))</f>
        <v>rood</v>
      </c>
      <c r="K27" t="str">
        <f>IF(K$1&lt;VLOOKUP($A27,kritische_breedtes[#All],2,FALSE),"rood",IF(K$1&lt;VLOOKUP($A27,kritische_breedtes[#All],3,FALSE),"geel","groen"))</f>
        <v>rood</v>
      </c>
      <c r="L27" t="str">
        <f>IF(L$1&lt;VLOOKUP($A27,kritische_breedtes[#All],2,FALSE),"rood",IF(L$1&lt;VLOOKUP($A27,kritische_breedtes[#All],3,FALSE),"geel","groen"))</f>
        <v>rood</v>
      </c>
      <c r="M27" t="str">
        <f>IF(M$1&lt;VLOOKUP($A27,kritische_breedtes[#All],2,FALSE),"rood",IF(M$1&lt;VLOOKUP($A27,kritische_breedtes[#All],3,FALSE),"geel","groen"))</f>
        <v>rood</v>
      </c>
      <c r="N27" t="str">
        <f>IF(N$1&lt;VLOOKUP($A27,kritische_breedtes[#All],2,FALSE),"rood",IF(N$1&lt;VLOOKUP($A27,kritische_breedtes[#All],3,FALSE),"geel","groen"))</f>
        <v>rood</v>
      </c>
      <c r="O27" t="str">
        <f>IF(O$1&lt;VLOOKUP($A27,kritische_breedtes[#All],2,FALSE),"rood",IF(O$1&lt;VLOOKUP($A27,kritische_breedtes[#All],3,FALSE),"geel","groen"))</f>
        <v>rood</v>
      </c>
      <c r="P27" t="str">
        <f>IF(P$1&lt;VLOOKUP($A27,kritische_breedtes[#All],2,FALSE),"rood",IF(P$1&lt;VLOOKUP($A27,kritische_breedtes[#All],3,FALSE),"geel","groen"))</f>
        <v>geel</v>
      </c>
      <c r="Q27" t="str">
        <f>IF(Q$1&lt;VLOOKUP($A27,kritische_breedtes[#All],2,FALSE),"rood",IF(Q$1&lt;VLOOKUP($A27,kritische_breedtes[#All],3,FALSE),"geel","groen"))</f>
        <v>geel</v>
      </c>
      <c r="R27" t="str">
        <f>IF(R$1&lt;VLOOKUP($A27,kritische_breedtes[#All],2,FALSE),"rood",IF(R$1&lt;VLOOKUP($A27,kritische_breedtes[#All],3,FALSE),"geel","groen"))</f>
        <v>geel</v>
      </c>
      <c r="S27" t="str">
        <f>IF(S$1&lt;VLOOKUP($A27,kritische_breedtes[#All],2,FALSE),"rood",IF(S$1&lt;VLOOKUP($A27,kritische_breedtes[#All],3,FALSE),"geel","groen"))</f>
        <v>geel</v>
      </c>
      <c r="T27" t="str">
        <f>IF(T$1&lt;VLOOKUP($A27,kritische_breedtes[#All],2,FALSE),"rood",IF(T$1&lt;VLOOKUP($A27,kritische_breedtes[#All],3,FALSE),"geel","groen"))</f>
        <v>geel</v>
      </c>
      <c r="U27" t="str">
        <f>IF(U$1&lt;VLOOKUP($A27,kritische_breedtes[#All],2,FALSE),"rood",IF(U$1&lt;VLOOKUP($A27,kritische_breedtes[#All],3,FALSE),"geel","groen"))</f>
        <v>groen</v>
      </c>
      <c r="V27" t="str">
        <f>IF(V$1&lt;VLOOKUP($A27,kritische_breedtes[#All],2,FALSE),"rood",IF(V$1&lt;VLOOKUP($A27,kritische_breedtes[#All],3,FALSE),"geel","groen"))</f>
        <v>groen</v>
      </c>
      <c r="W27" t="str">
        <f>IF(W$1&lt;VLOOKUP($A27,kritische_breedtes[#All],2,FALSE),"rood",IF(W$1&lt;VLOOKUP($A27,kritische_breedtes[#All],3,FALSE),"geel","groen"))</f>
        <v>groen</v>
      </c>
      <c r="X27" t="str">
        <f>IF(X$1&lt;VLOOKUP($A27,kritische_breedtes[#All],2,FALSE),"rood",IF(X$1&lt;VLOOKUP($A27,kritische_breedtes[#All],3,FALSE),"geel","groen"))</f>
        <v>groen</v>
      </c>
      <c r="Y27" t="str">
        <f>IF(Y$1&lt;VLOOKUP($A27,kritische_breedtes[#All],2,FALSE),"rood",IF(Y$1&lt;VLOOKUP($A27,kritische_breedtes[#All],3,FALSE),"geel","groen"))</f>
        <v>groen</v>
      </c>
      <c r="Z27" t="str">
        <f>IF(Z$1&lt;VLOOKUP($A27,kritische_breedtes[#All],2,FALSE),"rood",IF(Z$1&lt;VLOOKUP($A27,kritische_breedtes[#All],3,FALSE),"geel","groen"))</f>
        <v>groen</v>
      </c>
      <c r="AA27" t="str">
        <f>IF(AA$1&lt;VLOOKUP($A27,kritische_breedtes[#All],2,FALSE),"rood",IF(AA$1&lt;VLOOKUP($A27,kritische_breedtes[#All],3,FALSE),"geel","groen"))</f>
        <v>groen</v>
      </c>
      <c r="AB27" t="str">
        <f>IF(AB$1&lt;VLOOKUP($A27,kritische_breedtes[#All],2,FALSE),"rood",IF(AB$1&lt;VLOOKUP($A27,kritische_breedtes[#All],3,FALSE),"geel","groen"))</f>
        <v>groen</v>
      </c>
      <c r="AC27" t="str">
        <f>IF(AC$1&lt;VLOOKUP($A27,kritische_breedtes[#All],2,FALSE),"rood",IF(AC$1&lt;VLOOKUP($A27,kritische_breedtes[#All],3,FALSE),"geel","groen"))</f>
        <v>groen</v>
      </c>
      <c r="AD27" t="str">
        <f>IF(AD$1&lt;VLOOKUP($A27,kritische_breedtes[#All],2,FALSE),"rood",IF(AD$1&lt;VLOOKUP($A27,kritische_breedtes[#All],3,FALSE),"geel","groen"))</f>
        <v>groen</v>
      </c>
    </row>
    <row r="28" spans="1:30">
      <c r="A28" t="s">
        <v>131</v>
      </c>
      <c r="B28">
        <f>B24*duofietsers_var1*(1-vrachtverkeer_var1)*(1-vrachtverkeer_var1)</f>
        <v>1.7485143618627446</v>
      </c>
      <c r="C28" t="str">
        <f>IF(C$1&lt;VLOOKUP($A28,kritische_breedtes[#All],2,FALSE),"rood",IF(C$1&lt;VLOOKUP($A28,kritische_breedtes[#All],3,FALSE),"geel","groen"))</f>
        <v>rood</v>
      </c>
      <c r="D28" t="str">
        <f>IF(D$1&lt;VLOOKUP($A28,kritische_breedtes[#All],2,FALSE),"rood",IF(D$1&lt;VLOOKUP($A28,kritische_breedtes[#All],3,FALSE),"geel","groen"))</f>
        <v>rood</v>
      </c>
      <c r="E28" t="str">
        <f>IF(E$1&lt;VLOOKUP($A28,kritische_breedtes[#All],2,FALSE),"rood",IF(E$1&lt;VLOOKUP($A28,kritische_breedtes[#All],3,FALSE),"geel","groen"))</f>
        <v>rood</v>
      </c>
      <c r="F28" t="str">
        <f>IF(F$1&lt;VLOOKUP($A28,kritische_breedtes[#All],2,FALSE),"rood",IF(F$1&lt;VLOOKUP($A28,kritische_breedtes[#All],3,FALSE),"geel","groen"))</f>
        <v>rood</v>
      </c>
      <c r="G28" t="str">
        <f>IF(G$1&lt;VLOOKUP($A28,kritische_breedtes[#All],2,FALSE),"rood",IF(G$1&lt;VLOOKUP($A28,kritische_breedtes[#All],3,FALSE),"geel","groen"))</f>
        <v>rood</v>
      </c>
      <c r="H28" t="str">
        <f>IF(H$1&lt;VLOOKUP($A28,kritische_breedtes[#All],2,FALSE),"rood",IF(H$1&lt;VLOOKUP($A28,kritische_breedtes[#All],3,FALSE),"geel","groen"))</f>
        <v>rood</v>
      </c>
      <c r="I28" t="str">
        <f>IF(I$1&lt;VLOOKUP($A28,kritische_breedtes[#All],2,FALSE),"rood",IF(I$1&lt;VLOOKUP($A28,kritische_breedtes[#All],3,FALSE),"geel","groen"))</f>
        <v>rood</v>
      </c>
      <c r="J28" t="str">
        <f>IF(J$1&lt;VLOOKUP($A28,kritische_breedtes[#All],2,FALSE),"rood",IF(J$1&lt;VLOOKUP($A28,kritische_breedtes[#All],3,FALSE),"geel","groen"))</f>
        <v>rood</v>
      </c>
      <c r="K28" t="str">
        <f>IF(K$1&lt;VLOOKUP($A28,kritische_breedtes[#All],2,FALSE),"rood",IF(K$1&lt;VLOOKUP($A28,kritische_breedtes[#All],3,FALSE),"geel","groen"))</f>
        <v>rood</v>
      </c>
      <c r="L28" t="str">
        <f>IF(L$1&lt;VLOOKUP($A28,kritische_breedtes[#All],2,FALSE),"rood",IF(L$1&lt;VLOOKUP($A28,kritische_breedtes[#All],3,FALSE),"geel","groen"))</f>
        <v>geel</v>
      </c>
      <c r="M28" t="str">
        <f>IF(M$1&lt;VLOOKUP($A28,kritische_breedtes[#All],2,FALSE),"rood",IF(M$1&lt;VLOOKUP($A28,kritische_breedtes[#All],3,FALSE),"geel","groen"))</f>
        <v>geel</v>
      </c>
      <c r="N28" t="str">
        <f>IF(N$1&lt;VLOOKUP($A28,kritische_breedtes[#All],2,FALSE),"rood",IF(N$1&lt;VLOOKUP($A28,kritische_breedtes[#All],3,FALSE),"geel","groen"))</f>
        <v>geel</v>
      </c>
      <c r="O28" t="str">
        <f>IF(O$1&lt;VLOOKUP($A28,kritische_breedtes[#All],2,FALSE),"rood",IF(O$1&lt;VLOOKUP($A28,kritische_breedtes[#All],3,FALSE),"geel","groen"))</f>
        <v>geel</v>
      </c>
      <c r="P28" t="str">
        <f>IF(P$1&lt;VLOOKUP($A28,kritische_breedtes[#All],2,FALSE),"rood",IF(P$1&lt;VLOOKUP($A28,kritische_breedtes[#All],3,FALSE),"geel","groen"))</f>
        <v>geel</v>
      </c>
      <c r="Q28" t="str">
        <f>IF(Q$1&lt;VLOOKUP($A28,kritische_breedtes[#All],2,FALSE),"rood",IF(Q$1&lt;VLOOKUP($A28,kritische_breedtes[#All],3,FALSE),"geel","groen"))</f>
        <v>groen</v>
      </c>
      <c r="R28" t="str">
        <f>IF(R$1&lt;VLOOKUP($A28,kritische_breedtes[#All],2,FALSE),"rood",IF(R$1&lt;VLOOKUP($A28,kritische_breedtes[#All],3,FALSE),"geel","groen"))</f>
        <v>groen</v>
      </c>
      <c r="S28" t="str">
        <f>IF(S$1&lt;VLOOKUP($A28,kritische_breedtes[#All],2,FALSE),"rood",IF(S$1&lt;VLOOKUP($A28,kritische_breedtes[#All],3,FALSE),"geel","groen"))</f>
        <v>groen</v>
      </c>
      <c r="T28" t="str">
        <f>IF(T$1&lt;VLOOKUP($A28,kritische_breedtes[#All],2,FALSE),"rood",IF(T$1&lt;VLOOKUP($A28,kritische_breedtes[#All],3,FALSE),"geel","groen"))</f>
        <v>groen</v>
      </c>
      <c r="U28" t="str">
        <f>IF(U$1&lt;VLOOKUP($A28,kritische_breedtes[#All],2,FALSE),"rood",IF(U$1&lt;VLOOKUP($A28,kritische_breedtes[#All],3,FALSE),"geel","groen"))</f>
        <v>groen</v>
      </c>
      <c r="V28" t="str">
        <f>IF(V$1&lt;VLOOKUP($A28,kritische_breedtes[#All],2,FALSE),"rood",IF(V$1&lt;VLOOKUP($A28,kritische_breedtes[#All],3,FALSE),"geel","groen"))</f>
        <v>groen</v>
      </c>
      <c r="W28" t="str">
        <f>IF(W$1&lt;VLOOKUP($A28,kritische_breedtes[#All],2,FALSE),"rood",IF(W$1&lt;VLOOKUP($A28,kritische_breedtes[#All],3,FALSE),"geel","groen"))</f>
        <v>groen</v>
      </c>
      <c r="X28" t="str">
        <f>IF(X$1&lt;VLOOKUP($A28,kritische_breedtes[#All],2,FALSE),"rood",IF(X$1&lt;VLOOKUP($A28,kritische_breedtes[#All],3,FALSE),"geel","groen"))</f>
        <v>groen</v>
      </c>
      <c r="Y28" t="str">
        <f>IF(Y$1&lt;VLOOKUP($A28,kritische_breedtes[#All],2,FALSE),"rood",IF(Y$1&lt;VLOOKUP($A28,kritische_breedtes[#All],3,FALSE),"geel","groen"))</f>
        <v>groen</v>
      </c>
      <c r="Z28" t="str">
        <f>IF(Z$1&lt;VLOOKUP($A28,kritische_breedtes[#All],2,FALSE),"rood",IF(Z$1&lt;VLOOKUP($A28,kritische_breedtes[#All],3,FALSE),"geel","groen"))</f>
        <v>groen</v>
      </c>
      <c r="AA28" t="str">
        <f>IF(AA$1&lt;VLOOKUP($A28,kritische_breedtes[#All],2,FALSE),"rood",IF(AA$1&lt;VLOOKUP($A28,kritische_breedtes[#All],3,FALSE),"geel","groen"))</f>
        <v>groen</v>
      </c>
      <c r="AB28" t="str">
        <f>IF(AB$1&lt;VLOOKUP($A28,kritische_breedtes[#All],2,FALSE),"rood",IF(AB$1&lt;VLOOKUP($A28,kritische_breedtes[#All],3,FALSE),"geel","groen"))</f>
        <v>groen</v>
      </c>
      <c r="AC28" t="str">
        <f>IF(AC$1&lt;VLOOKUP($A28,kritische_breedtes[#All],2,FALSE),"rood",IF(AC$1&lt;VLOOKUP($A28,kritische_breedtes[#All],3,FALSE),"geel","groen"))</f>
        <v>groen</v>
      </c>
      <c r="AD28" t="str">
        <f>IF(AD$1&lt;VLOOKUP($A28,kritische_breedtes[#All],2,FALSE),"rood",IF(AD$1&lt;VLOOKUP($A28,kritische_breedtes[#All],3,FALSE),"geel","groen"))</f>
        <v>groen</v>
      </c>
    </row>
    <row r="29" spans="1:30">
      <c r="A29" t="s">
        <v>134</v>
      </c>
      <c r="B29">
        <f>B24*duofietsers_var1*(1-vrachtverkeer_var1)*vrachtverkeer_var1+B24*duofietsers_var1*vrachtverkeer_var1*(1-vrachtverkeer_var1)</f>
        <v>7.1367933137254883E-2</v>
      </c>
      <c r="C29" t="str">
        <f>IF(C$1&lt;VLOOKUP($A29,kritische_breedtes[#All],2,FALSE),"rood",IF(C$1&lt;VLOOKUP($A29,kritische_breedtes[#All],3,FALSE),"geel","groen"))</f>
        <v>rood</v>
      </c>
      <c r="D29" t="str">
        <f>IF(D$1&lt;VLOOKUP($A29,kritische_breedtes[#All],2,FALSE),"rood",IF(D$1&lt;VLOOKUP($A29,kritische_breedtes[#All],3,FALSE),"geel","groen"))</f>
        <v>rood</v>
      </c>
      <c r="E29" t="str">
        <f>IF(E$1&lt;VLOOKUP($A29,kritische_breedtes[#All],2,FALSE),"rood",IF(E$1&lt;VLOOKUP($A29,kritische_breedtes[#All],3,FALSE),"geel","groen"))</f>
        <v>rood</v>
      </c>
      <c r="F29" t="str">
        <f>IF(F$1&lt;VLOOKUP($A29,kritische_breedtes[#All],2,FALSE),"rood",IF(F$1&lt;VLOOKUP($A29,kritische_breedtes[#All],3,FALSE),"geel","groen"))</f>
        <v>rood</v>
      </c>
      <c r="G29" t="str">
        <f>IF(G$1&lt;VLOOKUP($A29,kritische_breedtes[#All],2,FALSE),"rood",IF(G$1&lt;VLOOKUP($A29,kritische_breedtes[#All],3,FALSE),"geel","groen"))</f>
        <v>rood</v>
      </c>
      <c r="H29" t="str">
        <f>IF(H$1&lt;VLOOKUP($A29,kritische_breedtes[#All],2,FALSE),"rood",IF(H$1&lt;VLOOKUP($A29,kritische_breedtes[#All],3,FALSE),"geel","groen"))</f>
        <v>rood</v>
      </c>
      <c r="I29" t="str">
        <f>IF(I$1&lt;VLOOKUP($A29,kritische_breedtes[#All],2,FALSE),"rood",IF(I$1&lt;VLOOKUP($A29,kritische_breedtes[#All],3,FALSE),"geel","groen"))</f>
        <v>rood</v>
      </c>
      <c r="J29" t="str">
        <f>IF(J$1&lt;VLOOKUP($A29,kritische_breedtes[#All],2,FALSE),"rood",IF(J$1&lt;VLOOKUP($A29,kritische_breedtes[#All],3,FALSE),"geel","groen"))</f>
        <v>rood</v>
      </c>
      <c r="K29" t="str">
        <f>IF(K$1&lt;VLOOKUP($A29,kritische_breedtes[#All],2,FALSE),"rood",IF(K$1&lt;VLOOKUP($A29,kritische_breedtes[#All],3,FALSE),"geel","groen"))</f>
        <v>rood</v>
      </c>
      <c r="L29" t="str">
        <f>IF(L$1&lt;VLOOKUP($A29,kritische_breedtes[#All],2,FALSE),"rood",IF(L$1&lt;VLOOKUP($A29,kritische_breedtes[#All],3,FALSE),"geel","groen"))</f>
        <v>rood</v>
      </c>
      <c r="M29" t="str">
        <f>IF(M$1&lt;VLOOKUP($A29,kritische_breedtes[#All],2,FALSE),"rood",IF(M$1&lt;VLOOKUP($A29,kritische_breedtes[#All],3,FALSE),"geel","groen"))</f>
        <v>rood</v>
      </c>
      <c r="N29" t="str">
        <f>IF(N$1&lt;VLOOKUP($A29,kritische_breedtes[#All],2,FALSE),"rood",IF(N$1&lt;VLOOKUP($A29,kritische_breedtes[#All],3,FALSE),"geel","groen"))</f>
        <v>rood</v>
      </c>
      <c r="O29" t="str">
        <f>IF(O$1&lt;VLOOKUP($A29,kritische_breedtes[#All],2,FALSE),"rood",IF(O$1&lt;VLOOKUP($A29,kritische_breedtes[#All],3,FALSE),"geel","groen"))</f>
        <v>rood</v>
      </c>
      <c r="P29" t="str">
        <f>IF(P$1&lt;VLOOKUP($A29,kritische_breedtes[#All],2,FALSE),"rood",IF(P$1&lt;VLOOKUP($A29,kritische_breedtes[#All],3,FALSE),"geel","groen"))</f>
        <v>geel</v>
      </c>
      <c r="Q29" t="str">
        <f>IF(Q$1&lt;VLOOKUP($A29,kritische_breedtes[#All],2,FALSE),"rood",IF(Q$1&lt;VLOOKUP($A29,kritische_breedtes[#All],3,FALSE),"geel","groen"))</f>
        <v>geel</v>
      </c>
      <c r="R29" t="str">
        <f>IF(R$1&lt;VLOOKUP($A29,kritische_breedtes[#All],2,FALSE),"rood",IF(R$1&lt;VLOOKUP($A29,kritische_breedtes[#All],3,FALSE),"geel","groen"))</f>
        <v>geel</v>
      </c>
      <c r="S29" t="str">
        <f>IF(S$1&lt;VLOOKUP($A29,kritische_breedtes[#All],2,FALSE),"rood",IF(S$1&lt;VLOOKUP($A29,kritische_breedtes[#All],3,FALSE),"geel","groen"))</f>
        <v>geel</v>
      </c>
      <c r="T29" t="str">
        <f>IF(T$1&lt;VLOOKUP($A29,kritische_breedtes[#All],2,FALSE),"rood",IF(T$1&lt;VLOOKUP($A29,kritische_breedtes[#All],3,FALSE),"geel","groen"))</f>
        <v>geel</v>
      </c>
      <c r="U29" t="str">
        <f>IF(U$1&lt;VLOOKUP($A29,kritische_breedtes[#All],2,FALSE),"rood",IF(U$1&lt;VLOOKUP($A29,kritische_breedtes[#All],3,FALSE),"geel","groen"))</f>
        <v>groen</v>
      </c>
      <c r="V29" t="str">
        <f>IF(V$1&lt;VLOOKUP($A29,kritische_breedtes[#All],2,FALSE),"rood",IF(V$1&lt;VLOOKUP($A29,kritische_breedtes[#All],3,FALSE),"geel","groen"))</f>
        <v>groen</v>
      </c>
      <c r="W29" t="str">
        <f>IF(W$1&lt;VLOOKUP($A29,kritische_breedtes[#All],2,FALSE),"rood",IF(W$1&lt;VLOOKUP($A29,kritische_breedtes[#All],3,FALSE),"geel","groen"))</f>
        <v>groen</v>
      </c>
      <c r="X29" t="str">
        <f>IF(X$1&lt;VLOOKUP($A29,kritische_breedtes[#All],2,FALSE),"rood",IF(X$1&lt;VLOOKUP($A29,kritische_breedtes[#All],3,FALSE),"geel","groen"))</f>
        <v>groen</v>
      </c>
      <c r="Y29" t="str">
        <f>IF(Y$1&lt;VLOOKUP($A29,kritische_breedtes[#All],2,FALSE),"rood",IF(Y$1&lt;VLOOKUP($A29,kritische_breedtes[#All],3,FALSE),"geel","groen"))</f>
        <v>groen</v>
      </c>
      <c r="Z29" t="str">
        <f>IF(Z$1&lt;VLOOKUP($A29,kritische_breedtes[#All],2,FALSE),"rood",IF(Z$1&lt;VLOOKUP($A29,kritische_breedtes[#All],3,FALSE),"geel","groen"))</f>
        <v>groen</v>
      </c>
      <c r="AA29" t="str">
        <f>IF(AA$1&lt;VLOOKUP($A29,kritische_breedtes[#All],2,FALSE),"rood",IF(AA$1&lt;VLOOKUP($A29,kritische_breedtes[#All],3,FALSE),"geel","groen"))</f>
        <v>groen</v>
      </c>
      <c r="AB29" t="str">
        <f>IF(AB$1&lt;VLOOKUP($A29,kritische_breedtes[#All],2,FALSE),"rood",IF(AB$1&lt;VLOOKUP($A29,kritische_breedtes[#All],3,FALSE),"geel","groen"))</f>
        <v>groen</v>
      </c>
      <c r="AC29" t="str">
        <f>IF(AC$1&lt;VLOOKUP($A29,kritische_breedtes[#All],2,FALSE),"rood",IF(AC$1&lt;VLOOKUP($A29,kritische_breedtes[#All],3,FALSE),"geel","groen"))</f>
        <v>groen</v>
      </c>
      <c r="AD29" t="str">
        <f>IF(AD$1&lt;VLOOKUP($A29,kritische_breedtes[#All],2,FALSE),"rood",IF(AD$1&lt;VLOOKUP($A29,kritische_breedtes[#All],3,FALSE),"geel","groen"))</f>
        <v>groen</v>
      </c>
    </row>
    <row r="30" spans="1:30">
      <c r="A30" t="s">
        <v>137</v>
      </c>
      <c r="B30">
        <f>B24*duofietsers_var1*vrachtverkeer_var1*vrachtverkeer_var1</f>
        <v>7.2824421568627436E-4</v>
      </c>
      <c r="C30" t="str">
        <f>IF(C$1&lt;VLOOKUP($A30,kritische_breedtes[#All],2,FALSE),"rood",IF(C$1&lt;VLOOKUP($A30,kritische_breedtes[#All],3,FALSE),"geel","groen"))</f>
        <v>rood</v>
      </c>
      <c r="D30" t="str">
        <f>IF(D$1&lt;VLOOKUP($A30,kritische_breedtes[#All],2,FALSE),"rood",IF(D$1&lt;VLOOKUP($A30,kritische_breedtes[#All],3,FALSE),"geel","groen"))</f>
        <v>rood</v>
      </c>
      <c r="E30" t="str">
        <f>IF(E$1&lt;VLOOKUP($A30,kritische_breedtes[#All],2,FALSE),"rood",IF(E$1&lt;VLOOKUP($A30,kritische_breedtes[#All],3,FALSE),"geel","groen"))</f>
        <v>rood</v>
      </c>
      <c r="F30" t="str">
        <f>IF(F$1&lt;VLOOKUP($A30,kritische_breedtes[#All],2,FALSE),"rood",IF(F$1&lt;VLOOKUP($A30,kritische_breedtes[#All],3,FALSE),"geel","groen"))</f>
        <v>rood</v>
      </c>
      <c r="G30" t="str">
        <f>IF(G$1&lt;VLOOKUP($A30,kritische_breedtes[#All],2,FALSE),"rood",IF(G$1&lt;VLOOKUP($A30,kritische_breedtes[#All],3,FALSE),"geel","groen"))</f>
        <v>rood</v>
      </c>
      <c r="H30" t="str">
        <f>IF(H$1&lt;VLOOKUP($A30,kritische_breedtes[#All],2,FALSE),"rood",IF(H$1&lt;VLOOKUP($A30,kritische_breedtes[#All],3,FALSE),"geel","groen"))</f>
        <v>rood</v>
      </c>
      <c r="I30" t="str">
        <f>IF(I$1&lt;VLOOKUP($A30,kritische_breedtes[#All],2,FALSE),"rood",IF(I$1&lt;VLOOKUP($A30,kritische_breedtes[#All],3,FALSE),"geel","groen"))</f>
        <v>rood</v>
      </c>
      <c r="J30" t="str">
        <f>IF(J$1&lt;VLOOKUP($A30,kritische_breedtes[#All],2,FALSE),"rood",IF(J$1&lt;VLOOKUP($A30,kritische_breedtes[#All],3,FALSE),"geel","groen"))</f>
        <v>rood</v>
      </c>
      <c r="K30" t="str">
        <f>IF(K$1&lt;VLOOKUP($A30,kritische_breedtes[#All],2,FALSE),"rood",IF(K$1&lt;VLOOKUP($A30,kritische_breedtes[#All],3,FALSE),"geel","groen"))</f>
        <v>rood</v>
      </c>
      <c r="L30" t="str">
        <f>IF(L$1&lt;VLOOKUP($A30,kritische_breedtes[#All],2,FALSE),"rood",IF(L$1&lt;VLOOKUP($A30,kritische_breedtes[#All],3,FALSE),"geel","groen"))</f>
        <v>rood</v>
      </c>
      <c r="M30" t="str">
        <f>IF(M$1&lt;VLOOKUP($A30,kritische_breedtes[#All],2,FALSE),"rood",IF(M$1&lt;VLOOKUP($A30,kritische_breedtes[#All],3,FALSE),"geel","groen"))</f>
        <v>rood</v>
      </c>
      <c r="N30" t="str">
        <f>IF(N$1&lt;VLOOKUP($A30,kritische_breedtes[#All],2,FALSE),"rood",IF(N$1&lt;VLOOKUP($A30,kritische_breedtes[#All],3,FALSE),"geel","groen"))</f>
        <v>rood</v>
      </c>
      <c r="O30" t="str">
        <f>IF(O$1&lt;VLOOKUP($A30,kritische_breedtes[#All],2,FALSE),"rood",IF(O$1&lt;VLOOKUP($A30,kritische_breedtes[#All],3,FALSE),"geel","groen"))</f>
        <v>rood</v>
      </c>
      <c r="P30" t="str">
        <f>IF(P$1&lt;VLOOKUP($A30,kritische_breedtes[#All],2,FALSE),"rood",IF(P$1&lt;VLOOKUP($A30,kritische_breedtes[#All],3,FALSE),"geel","groen"))</f>
        <v>rood</v>
      </c>
      <c r="Q30" t="str">
        <f>IF(Q$1&lt;VLOOKUP($A30,kritische_breedtes[#All],2,FALSE),"rood",IF(Q$1&lt;VLOOKUP($A30,kritische_breedtes[#All],3,FALSE),"geel","groen"))</f>
        <v>rood</v>
      </c>
      <c r="R30" t="str">
        <f>IF(R$1&lt;VLOOKUP($A30,kritische_breedtes[#All],2,FALSE),"rood",IF(R$1&lt;VLOOKUP($A30,kritische_breedtes[#All],3,FALSE),"geel","groen"))</f>
        <v>rood</v>
      </c>
      <c r="S30" t="str">
        <f>IF(S$1&lt;VLOOKUP($A30,kritische_breedtes[#All],2,FALSE),"rood",IF(S$1&lt;VLOOKUP($A30,kritische_breedtes[#All],3,FALSE),"geel","groen"))</f>
        <v>rood</v>
      </c>
      <c r="T30" t="str">
        <f>IF(T$1&lt;VLOOKUP($A30,kritische_breedtes[#All],2,FALSE),"rood",IF(T$1&lt;VLOOKUP($A30,kritische_breedtes[#All],3,FALSE),"geel","groen"))</f>
        <v>geel</v>
      </c>
      <c r="U30" t="str">
        <f>IF(U$1&lt;VLOOKUP($A30,kritische_breedtes[#All],2,FALSE),"rood",IF(U$1&lt;VLOOKUP($A30,kritische_breedtes[#All],3,FALSE),"geel","groen"))</f>
        <v>geel</v>
      </c>
      <c r="V30" t="str">
        <f>IF(V$1&lt;VLOOKUP($A30,kritische_breedtes[#All],2,FALSE),"rood",IF(V$1&lt;VLOOKUP($A30,kritische_breedtes[#All],3,FALSE),"geel","groen"))</f>
        <v>geel</v>
      </c>
      <c r="W30" t="str">
        <f>IF(W$1&lt;VLOOKUP($A30,kritische_breedtes[#All],2,FALSE),"rood",IF(W$1&lt;VLOOKUP($A30,kritische_breedtes[#All],3,FALSE),"geel","groen"))</f>
        <v>geel</v>
      </c>
      <c r="X30" t="str">
        <f>IF(X$1&lt;VLOOKUP($A30,kritische_breedtes[#All],2,FALSE),"rood",IF(X$1&lt;VLOOKUP($A30,kritische_breedtes[#All],3,FALSE),"geel","groen"))</f>
        <v>groen</v>
      </c>
      <c r="Y30" t="str">
        <f>IF(Y$1&lt;VLOOKUP($A30,kritische_breedtes[#All],2,FALSE),"rood",IF(Y$1&lt;VLOOKUP($A30,kritische_breedtes[#All],3,FALSE),"geel","groen"))</f>
        <v>groen</v>
      </c>
      <c r="Z30" t="str">
        <f>IF(Z$1&lt;VLOOKUP($A30,kritische_breedtes[#All],2,FALSE),"rood",IF(Z$1&lt;VLOOKUP($A30,kritische_breedtes[#All],3,FALSE),"geel","groen"))</f>
        <v>groen</v>
      </c>
      <c r="AA30" t="str">
        <f>IF(AA$1&lt;VLOOKUP($A30,kritische_breedtes[#All],2,FALSE),"rood",IF(AA$1&lt;VLOOKUP($A30,kritische_breedtes[#All],3,FALSE),"geel","groen"))</f>
        <v>groen</v>
      </c>
      <c r="AB30" t="str">
        <f>IF(AB$1&lt;VLOOKUP($A30,kritische_breedtes[#All],2,FALSE),"rood",IF(AB$1&lt;VLOOKUP($A30,kritische_breedtes[#All],3,FALSE),"geel","groen"))</f>
        <v>groen</v>
      </c>
      <c r="AC30" t="str">
        <f>IF(AC$1&lt;VLOOKUP($A30,kritische_breedtes[#All],2,FALSE),"rood",IF(AC$1&lt;VLOOKUP($A30,kritische_breedtes[#All],3,FALSE),"geel","groen"))</f>
        <v>groen</v>
      </c>
      <c r="AD30" t="str">
        <f>IF(AD$1&lt;VLOOKUP($A30,kritische_breedtes[#All],2,FALSE),"rood",IF(AD$1&lt;VLOOKUP($A30,kritische_breedtes[#All],3,FALSE),"geel","groen"))</f>
        <v>groen</v>
      </c>
    </row>
    <row r="32" spans="1:30">
      <c r="A32" t="s">
        <v>187</v>
      </c>
      <c r="B32">
        <f>i_fiets_sec_ri1_var1*i_auto_sec_ri1_var1*(t_fiets_var1-t_auto_var1)*i_auto_sec_ri2_var1*t_inhalen*i_fiets_sec_ri2_var1*t_inhalen*periode+i_fiets_sec_ri2_var1*i_auto_sec_ri2_var1*(t_fiets_var1-t_auto_var1)*i_auto_sec_ri1_var1*t_inhalen*i_fiets_sec_ri1_var1*t_inhalen*periode</f>
        <v>3.4883390522875803</v>
      </c>
    </row>
    <row r="33" spans="1:30">
      <c r="A33" t="s">
        <v>144</v>
      </c>
      <c r="B33">
        <f>B32*(1-duofietsers_var1)*(1-vrachtverkeer_var1)*(1-vrachtverkeer_var1)*(1-duofietsers_var1)</f>
        <v>2.7136626689117636</v>
      </c>
      <c r="C33" t="str">
        <f>IF(C$1&lt;VLOOKUP($A33,kritische_breedtes[#All],2,FALSE),"rood",IF(C$1&lt;VLOOKUP($A33,kritische_breedtes[#All],3,FALSE),"geel","groen"))</f>
        <v>rood</v>
      </c>
      <c r="D33" t="str">
        <f>IF(D$1&lt;VLOOKUP($A33,kritische_breedtes[#All],2,FALSE),"rood",IF(D$1&lt;VLOOKUP($A33,kritische_breedtes[#All],3,FALSE),"geel","groen"))</f>
        <v>rood</v>
      </c>
      <c r="E33" t="str">
        <f>IF(E$1&lt;VLOOKUP($A33,kritische_breedtes[#All],2,FALSE),"rood",IF(E$1&lt;VLOOKUP($A33,kritische_breedtes[#All],3,FALSE),"geel","groen"))</f>
        <v>rood</v>
      </c>
      <c r="F33" t="str">
        <f>IF(F$1&lt;VLOOKUP($A33,kritische_breedtes[#All],2,FALSE),"rood",IF(F$1&lt;VLOOKUP($A33,kritische_breedtes[#All],3,FALSE),"geel","groen"))</f>
        <v>rood</v>
      </c>
      <c r="G33" t="str">
        <f>IF(G$1&lt;VLOOKUP($A33,kritische_breedtes[#All],2,FALSE),"rood",IF(G$1&lt;VLOOKUP($A33,kritische_breedtes[#All],3,FALSE),"geel","groen"))</f>
        <v>rood</v>
      </c>
      <c r="H33" t="str">
        <f>IF(H$1&lt;VLOOKUP($A33,kritische_breedtes[#All],2,FALSE),"rood",IF(H$1&lt;VLOOKUP($A33,kritische_breedtes[#All],3,FALSE),"geel","groen"))</f>
        <v>rood</v>
      </c>
      <c r="I33" t="str">
        <f>IF(I$1&lt;VLOOKUP($A33,kritische_breedtes[#All],2,FALSE),"rood",IF(I$1&lt;VLOOKUP($A33,kritische_breedtes[#All],3,FALSE),"geel","groen"))</f>
        <v>rood</v>
      </c>
      <c r="J33" t="str">
        <f>IF(J$1&lt;VLOOKUP($A33,kritische_breedtes[#All],2,FALSE),"rood",IF(J$1&lt;VLOOKUP($A33,kritische_breedtes[#All],3,FALSE),"geel","groen"))</f>
        <v>rood</v>
      </c>
      <c r="K33" t="str">
        <f>IF(K$1&lt;VLOOKUP($A33,kritische_breedtes[#All],2,FALSE),"rood",IF(K$1&lt;VLOOKUP($A33,kritische_breedtes[#All],3,FALSE),"geel","groen"))</f>
        <v>rood</v>
      </c>
      <c r="L33" t="str">
        <f>IF(L$1&lt;VLOOKUP($A33,kritische_breedtes[#All],2,FALSE),"rood",IF(L$1&lt;VLOOKUP($A33,kritische_breedtes[#All],3,FALSE),"geel","groen"))</f>
        <v>rood</v>
      </c>
      <c r="M33" t="str">
        <f>IF(M$1&lt;VLOOKUP($A33,kritische_breedtes[#All],2,FALSE),"rood",IF(M$1&lt;VLOOKUP($A33,kritische_breedtes[#All],3,FALSE),"geel","groen"))</f>
        <v>rood</v>
      </c>
      <c r="N33" t="str">
        <f>IF(N$1&lt;VLOOKUP($A33,kritische_breedtes[#All],2,FALSE),"rood",IF(N$1&lt;VLOOKUP($A33,kritische_breedtes[#All],3,FALSE),"geel","groen"))</f>
        <v>rood</v>
      </c>
      <c r="O33" t="str">
        <f>IF(O$1&lt;VLOOKUP($A33,kritische_breedtes[#All],2,FALSE),"rood",IF(O$1&lt;VLOOKUP($A33,kritische_breedtes[#All],3,FALSE),"geel","groen"))</f>
        <v>rood</v>
      </c>
      <c r="P33" t="str">
        <f>IF(P$1&lt;VLOOKUP($A33,kritische_breedtes[#All],2,FALSE),"rood",IF(P$1&lt;VLOOKUP($A33,kritische_breedtes[#All],3,FALSE),"geel","groen"))</f>
        <v>rood</v>
      </c>
      <c r="Q33" t="str">
        <f>IF(Q$1&lt;VLOOKUP($A33,kritische_breedtes[#All],2,FALSE),"rood",IF(Q$1&lt;VLOOKUP($A33,kritische_breedtes[#All],3,FALSE),"geel","groen"))</f>
        <v>geel</v>
      </c>
      <c r="R33" t="str">
        <f>IF(R$1&lt;VLOOKUP($A33,kritische_breedtes[#All],2,FALSE),"rood",IF(R$1&lt;VLOOKUP($A33,kritische_breedtes[#All],3,FALSE),"geel","groen"))</f>
        <v>geel</v>
      </c>
      <c r="S33" t="str">
        <f>IF(S$1&lt;VLOOKUP($A33,kritische_breedtes[#All],2,FALSE),"rood",IF(S$1&lt;VLOOKUP($A33,kritische_breedtes[#All],3,FALSE),"geel","groen"))</f>
        <v>geel</v>
      </c>
      <c r="T33" t="str">
        <f>IF(T$1&lt;VLOOKUP($A33,kritische_breedtes[#All],2,FALSE),"rood",IF(T$1&lt;VLOOKUP($A33,kritische_breedtes[#All],3,FALSE),"geel","groen"))</f>
        <v>geel</v>
      </c>
      <c r="U33" t="str">
        <f>IF(U$1&lt;VLOOKUP($A33,kritische_breedtes[#All],2,FALSE),"rood",IF(U$1&lt;VLOOKUP($A33,kritische_breedtes[#All],3,FALSE),"geel","groen"))</f>
        <v>geel</v>
      </c>
      <c r="V33" t="str">
        <f>IF(V$1&lt;VLOOKUP($A33,kritische_breedtes[#All],2,FALSE),"rood",IF(V$1&lt;VLOOKUP($A33,kritische_breedtes[#All],3,FALSE),"geel","groen"))</f>
        <v>groen</v>
      </c>
      <c r="W33" t="str">
        <f>IF(W$1&lt;VLOOKUP($A33,kritische_breedtes[#All],2,FALSE),"rood",IF(W$1&lt;VLOOKUP($A33,kritische_breedtes[#All],3,FALSE),"geel","groen"))</f>
        <v>groen</v>
      </c>
      <c r="X33" t="str">
        <f>IF(X$1&lt;VLOOKUP($A33,kritische_breedtes[#All],2,FALSE),"rood",IF(X$1&lt;VLOOKUP($A33,kritische_breedtes[#All],3,FALSE),"geel","groen"))</f>
        <v>groen</v>
      </c>
      <c r="Y33" t="str">
        <f>IF(Y$1&lt;VLOOKUP($A33,kritische_breedtes[#All],2,FALSE),"rood",IF(Y$1&lt;VLOOKUP($A33,kritische_breedtes[#All],3,FALSE),"geel","groen"))</f>
        <v>groen</v>
      </c>
      <c r="Z33" t="str">
        <f>IF(Z$1&lt;VLOOKUP($A33,kritische_breedtes[#All],2,FALSE),"rood",IF(Z$1&lt;VLOOKUP($A33,kritische_breedtes[#All],3,FALSE),"geel","groen"))</f>
        <v>groen</v>
      </c>
      <c r="AA33" t="str">
        <f>IF(AA$1&lt;VLOOKUP($A33,kritische_breedtes[#All],2,FALSE),"rood",IF(AA$1&lt;VLOOKUP($A33,kritische_breedtes[#All],3,FALSE),"geel","groen"))</f>
        <v>groen</v>
      </c>
      <c r="AB33" t="str">
        <f>IF(AB$1&lt;VLOOKUP($A33,kritische_breedtes[#All],2,FALSE),"rood",IF(AB$1&lt;VLOOKUP($A33,kritische_breedtes[#All],3,FALSE),"geel","groen"))</f>
        <v>groen</v>
      </c>
      <c r="AC33" t="str">
        <f>IF(AC$1&lt;VLOOKUP($A33,kritische_breedtes[#All],2,FALSE),"rood",IF(AC$1&lt;VLOOKUP($A33,kritische_breedtes[#All],3,FALSE),"geel","groen"))</f>
        <v>groen</v>
      </c>
      <c r="AD33" t="str">
        <f>IF(AD$1&lt;VLOOKUP($A33,kritische_breedtes[#All],2,FALSE),"rood",IF(AD$1&lt;VLOOKUP($A33,kritische_breedtes[#All],3,FALSE),"geel","groen"))</f>
        <v>groen</v>
      </c>
    </row>
    <row r="34" spans="1:30">
      <c r="A34" t="s">
        <v>149</v>
      </c>
      <c r="B34">
        <f>B32*duofietsers_var1*(1-vrachtverkeer_var1)*(1-vrachtverkeer_var1)*(1-duofietsers_var1)+B32*(1-duofietsers_var1)*(1-vrachtverkeer_var1)*(1-vrachtverkeer_var1)*duofietsers_var1</f>
        <v>0.60303614864705857</v>
      </c>
      <c r="C34" t="str">
        <f>IF(C$1&lt;VLOOKUP($A34,kritische_breedtes[#All],2,FALSE),"rood",IF(C$1&lt;VLOOKUP($A34,kritische_breedtes[#All],3,FALSE),"geel","groen"))</f>
        <v>rood</v>
      </c>
      <c r="D34" t="str">
        <f>IF(D$1&lt;VLOOKUP($A34,kritische_breedtes[#All],2,FALSE),"rood",IF(D$1&lt;VLOOKUP($A34,kritische_breedtes[#All],3,FALSE),"geel","groen"))</f>
        <v>rood</v>
      </c>
      <c r="E34" t="str">
        <f>IF(E$1&lt;VLOOKUP($A34,kritische_breedtes[#All],2,FALSE),"rood",IF(E$1&lt;VLOOKUP($A34,kritische_breedtes[#All],3,FALSE),"geel","groen"))</f>
        <v>rood</v>
      </c>
      <c r="F34" t="str">
        <f>IF(F$1&lt;VLOOKUP($A34,kritische_breedtes[#All],2,FALSE),"rood",IF(F$1&lt;VLOOKUP($A34,kritische_breedtes[#All],3,FALSE),"geel","groen"))</f>
        <v>rood</v>
      </c>
      <c r="G34" t="str">
        <f>IF(G$1&lt;VLOOKUP($A34,kritische_breedtes[#All],2,FALSE),"rood",IF(G$1&lt;VLOOKUP($A34,kritische_breedtes[#All],3,FALSE),"geel","groen"))</f>
        <v>rood</v>
      </c>
      <c r="H34" t="str">
        <f>IF(H$1&lt;VLOOKUP($A34,kritische_breedtes[#All],2,FALSE),"rood",IF(H$1&lt;VLOOKUP($A34,kritische_breedtes[#All],3,FALSE),"geel","groen"))</f>
        <v>rood</v>
      </c>
      <c r="I34" t="str">
        <f>IF(I$1&lt;VLOOKUP($A34,kritische_breedtes[#All],2,FALSE),"rood",IF(I$1&lt;VLOOKUP($A34,kritische_breedtes[#All],3,FALSE),"geel","groen"))</f>
        <v>rood</v>
      </c>
      <c r="J34" t="str">
        <f>IF(J$1&lt;VLOOKUP($A34,kritische_breedtes[#All],2,FALSE),"rood",IF(J$1&lt;VLOOKUP($A34,kritische_breedtes[#All],3,FALSE),"geel","groen"))</f>
        <v>rood</v>
      </c>
      <c r="K34" t="str">
        <f>IF(K$1&lt;VLOOKUP($A34,kritische_breedtes[#All],2,FALSE),"rood",IF(K$1&lt;VLOOKUP($A34,kritische_breedtes[#All],3,FALSE),"geel","groen"))</f>
        <v>rood</v>
      </c>
      <c r="L34" t="str">
        <f>IF(L$1&lt;VLOOKUP($A34,kritische_breedtes[#All],2,FALSE),"rood",IF(L$1&lt;VLOOKUP($A34,kritische_breedtes[#All],3,FALSE),"geel","groen"))</f>
        <v>rood</v>
      </c>
      <c r="M34" t="str">
        <f>IF(M$1&lt;VLOOKUP($A34,kritische_breedtes[#All],2,FALSE),"rood",IF(M$1&lt;VLOOKUP($A34,kritische_breedtes[#All],3,FALSE),"geel","groen"))</f>
        <v>rood</v>
      </c>
      <c r="N34" t="str">
        <f>IF(N$1&lt;VLOOKUP($A34,kritische_breedtes[#All],2,FALSE),"rood",IF(N$1&lt;VLOOKUP($A34,kritische_breedtes[#All],3,FALSE),"geel","groen"))</f>
        <v>rood</v>
      </c>
      <c r="O34" t="str">
        <f>IF(O$1&lt;VLOOKUP($A34,kritische_breedtes[#All],2,FALSE),"rood",IF(O$1&lt;VLOOKUP($A34,kritische_breedtes[#All],3,FALSE),"geel","groen"))</f>
        <v>rood</v>
      </c>
      <c r="P34" t="str">
        <f>IF(P$1&lt;VLOOKUP($A34,kritische_breedtes[#All],2,FALSE),"rood",IF(P$1&lt;VLOOKUP($A34,kritische_breedtes[#All],3,FALSE),"geel","groen"))</f>
        <v>rood</v>
      </c>
      <c r="Q34" t="str">
        <f>IF(Q$1&lt;VLOOKUP($A34,kritische_breedtes[#All],2,FALSE),"rood",IF(Q$1&lt;VLOOKUP($A34,kritische_breedtes[#All],3,FALSE),"geel","groen"))</f>
        <v>rood</v>
      </c>
      <c r="R34" t="str">
        <f>IF(R$1&lt;VLOOKUP($A34,kritische_breedtes[#All],2,FALSE),"rood",IF(R$1&lt;VLOOKUP($A34,kritische_breedtes[#All],3,FALSE),"geel","groen"))</f>
        <v>rood</v>
      </c>
      <c r="S34" t="str">
        <f>IF(S$1&lt;VLOOKUP($A34,kritische_breedtes[#All],2,FALSE),"rood",IF(S$1&lt;VLOOKUP($A34,kritische_breedtes[#All],3,FALSE),"geel","groen"))</f>
        <v>rood</v>
      </c>
      <c r="T34" t="str">
        <f>IF(T$1&lt;VLOOKUP($A34,kritische_breedtes[#All],2,FALSE),"rood",IF(T$1&lt;VLOOKUP($A34,kritische_breedtes[#All],3,FALSE),"geel","groen"))</f>
        <v>rood</v>
      </c>
      <c r="U34" t="str">
        <f>IF(U$1&lt;VLOOKUP($A34,kritische_breedtes[#All],2,FALSE),"rood",IF(U$1&lt;VLOOKUP($A34,kritische_breedtes[#All],3,FALSE),"geel","groen"))</f>
        <v>geel</v>
      </c>
      <c r="V34" t="str">
        <f>IF(V$1&lt;VLOOKUP($A34,kritische_breedtes[#All],2,FALSE),"rood",IF(V$1&lt;VLOOKUP($A34,kritische_breedtes[#All],3,FALSE),"geel","groen"))</f>
        <v>geel</v>
      </c>
      <c r="W34" t="str">
        <f>IF(W$1&lt;VLOOKUP($A34,kritische_breedtes[#All],2,FALSE),"rood",IF(W$1&lt;VLOOKUP($A34,kritische_breedtes[#All],3,FALSE),"geel","groen"))</f>
        <v>geel</v>
      </c>
      <c r="X34" t="str">
        <f>IF(X$1&lt;VLOOKUP($A34,kritische_breedtes[#All],2,FALSE),"rood",IF(X$1&lt;VLOOKUP($A34,kritische_breedtes[#All],3,FALSE),"geel","groen"))</f>
        <v>geel</v>
      </c>
      <c r="Y34" t="str">
        <f>IF(Y$1&lt;VLOOKUP($A34,kritische_breedtes[#All],2,FALSE),"rood",IF(Y$1&lt;VLOOKUP($A34,kritische_breedtes[#All],3,FALSE),"geel","groen"))</f>
        <v>groen</v>
      </c>
      <c r="Z34" t="str">
        <f>IF(Z$1&lt;VLOOKUP($A34,kritische_breedtes[#All],2,FALSE),"rood",IF(Z$1&lt;VLOOKUP($A34,kritische_breedtes[#All],3,FALSE),"geel","groen"))</f>
        <v>groen</v>
      </c>
      <c r="AA34" t="str">
        <f>IF(AA$1&lt;VLOOKUP($A34,kritische_breedtes[#All],2,FALSE),"rood",IF(AA$1&lt;VLOOKUP($A34,kritische_breedtes[#All],3,FALSE),"geel","groen"))</f>
        <v>groen</v>
      </c>
      <c r="AB34" t="str">
        <f>IF(AB$1&lt;VLOOKUP($A34,kritische_breedtes[#All],2,FALSE),"rood",IF(AB$1&lt;VLOOKUP($A34,kritische_breedtes[#All],3,FALSE),"geel","groen"))</f>
        <v>groen</v>
      </c>
      <c r="AC34" t="str">
        <f>IF(AC$1&lt;VLOOKUP($A34,kritische_breedtes[#All],2,FALSE),"rood",IF(AC$1&lt;VLOOKUP($A34,kritische_breedtes[#All],3,FALSE),"geel","groen"))</f>
        <v>groen</v>
      </c>
      <c r="AD34" t="str">
        <f>IF(AD$1&lt;VLOOKUP($A34,kritische_breedtes[#All],2,FALSE),"rood",IF(AD$1&lt;VLOOKUP($A34,kritische_breedtes[#All],3,FALSE),"geel","groen"))</f>
        <v>groen</v>
      </c>
    </row>
    <row r="35" spans="1:30">
      <c r="A35" t="s">
        <v>154</v>
      </c>
      <c r="B35">
        <f>B32*(1-duofietsers_var1)*(1-vrachtverkeer_var1)*vrachtverkeer_var1*(1-duofietsers_var1)+B32*(1-duofietsers_var1)*vrachtverkeer_var1*(1-vrachtverkeer_var1)*(1-duofietsers_var1)</f>
        <v>0.11076174158823525</v>
      </c>
      <c r="C35" t="str">
        <f>IF(C$1&lt;VLOOKUP($A35,kritische_breedtes[#All],2,FALSE),"rood",IF(C$1&lt;VLOOKUP($A35,kritische_breedtes[#All],3,FALSE),"geel","groen"))</f>
        <v>rood</v>
      </c>
      <c r="D35" t="str">
        <f>IF(D$1&lt;VLOOKUP($A35,kritische_breedtes[#All],2,FALSE),"rood",IF(D$1&lt;VLOOKUP($A35,kritische_breedtes[#All],3,FALSE),"geel","groen"))</f>
        <v>rood</v>
      </c>
      <c r="E35" t="str">
        <f>IF(E$1&lt;VLOOKUP($A35,kritische_breedtes[#All],2,FALSE),"rood",IF(E$1&lt;VLOOKUP($A35,kritische_breedtes[#All],3,FALSE),"geel","groen"))</f>
        <v>rood</v>
      </c>
      <c r="F35" t="str">
        <f>IF(F$1&lt;VLOOKUP($A35,kritische_breedtes[#All],2,FALSE),"rood",IF(F$1&lt;VLOOKUP($A35,kritische_breedtes[#All],3,FALSE),"geel","groen"))</f>
        <v>rood</v>
      </c>
      <c r="G35" t="str">
        <f>IF(G$1&lt;VLOOKUP($A35,kritische_breedtes[#All],2,FALSE),"rood",IF(G$1&lt;VLOOKUP($A35,kritische_breedtes[#All],3,FALSE),"geel","groen"))</f>
        <v>rood</v>
      </c>
      <c r="H35" t="str">
        <f>IF(H$1&lt;VLOOKUP($A35,kritische_breedtes[#All],2,FALSE),"rood",IF(H$1&lt;VLOOKUP($A35,kritische_breedtes[#All],3,FALSE),"geel","groen"))</f>
        <v>rood</v>
      </c>
      <c r="I35" t="str">
        <f>IF(I$1&lt;VLOOKUP($A35,kritische_breedtes[#All],2,FALSE),"rood",IF(I$1&lt;VLOOKUP($A35,kritische_breedtes[#All],3,FALSE),"geel","groen"))</f>
        <v>rood</v>
      </c>
      <c r="J35" t="str">
        <f>IF(J$1&lt;VLOOKUP($A35,kritische_breedtes[#All],2,FALSE),"rood",IF(J$1&lt;VLOOKUP($A35,kritische_breedtes[#All],3,FALSE),"geel","groen"))</f>
        <v>rood</v>
      </c>
      <c r="K35" t="str">
        <f>IF(K$1&lt;VLOOKUP($A35,kritische_breedtes[#All],2,FALSE),"rood",IF(K$1&lt;VLOOKUP($A35,kritische_breedtes[#All],3,FALSE),"geel","groen"))</f>
        <v>rood</v>
      </c>
      <c r="L35" t="str">
        <f>IF(L$1&lt;VLOOKUP($A35,kritische_breedtes[#All],2,FALSE),"rood",IF(L$1&lt;VLOOKUP($A35,kritische_breedtes[#All],3,FALSE),"geel","groen"))</f>
        <v>rood</v>
      </c>
      <c r="M35" t="str">
        <f>IF(M$1&lt;VLOOKUP($A35,kritische_breedtes[#All],2,FALSE),"rood",IF(M$1&lt;VLOOKUP($A35,kritische_breedtes[#All],3,FALSE),"geel","groen"))</f>
        <v>rood</v>
      </c>
      <c r="N35" t="str">
        <f>IF(N$1&lt;VLOOKUP($A35,kritische_breedtes[#All],2,FALSE),"rood",IF(N$1&lt;VLOOKUP($A35,kritische_breedtes[#All],3,FALSE),"geel","groen"))</f>
        <v>rood</v>
      </c>
      <c r="O35" t="str">
        <f>IF(O$1&lt;VLOOKUP($A35,kritische_breedtes[#All],2,FALSE),"rood",IF(O$1&lt;VLOOKUP($A35,kritische_breedtes[#All],3,FALSE),"geel","groen"))</f>
        <v>rood</v>
      </c>
      <c r="P35" t="str">
        <f>IF(P$1&lt;VLOOKUP($A35,kritische_breedtes[#All],2,FALSE),"rood",IF(P$1&lt;VLOOKUP($A35,kritische_breedtes[#All],3,FALSE),"geel","groen"))</f>
        <v>rood</v>
      </c>
      <c r="Q35" t="str">
        <f>IF(Q$1&lt;VLOOKUP($A35,kritische_breedtes[#All],2,FALSE),"rood",IF(Q$1&lt;VLOOKUP($A35,kritische_breedtes[#All],3,FALSE),"geel","groen"))</f>
        <v>rood</v>
      </c>
      <c r="R35" t="str">
        <f>IF(R$1&lt;VLOOKUP($A35,kritische_breedtes[#All],2,FALSE),"rood",IF(R$1&lt;VLOOKUP($A35,kritische_breedtes[#All],3,FALSE),"geel","groen"))</f>
        <v>rood</v>
      </c>
      <c r="S35" t="str">
        <f>IF(S$1&lt;VLOOKUP($A35,kritische_breedtes[#All],2,FALSE),"rood",IF(S$1&lt;VLOOKUP($A35,kritische_breedtes[#All],3,FALSE),"geel","groen"))</f>
        <v>rood</v>
      </c>
      <c r="T35" t="str">
        <f>IF(T$1&lt;VLOOKUP($A35,kritische_breedtes[#All],2,FALSE),"rood",IF(T$1&lt;VLOOKUP($A35,kritische_breedtes[#All],3,FALSE),"geel","groen"))</f>
        <v>rood</v>
      </c>
      <c r="U35" t="str">
        <f>IF(U$1&lt;VLOOKUP($A35,kritische_breedtes[#All],2,FALSE),"rood",IF(U$1&lt;VLOOKUP($A35,kritische_breedtes[#All],3,FALSE),"geel","groen"))</f>
        <v>geel</v>
      </c>
      <c r="V35" t="str">
        <f>IF(V$1&lt;VLOOKUP($A35,kritische_breedtes[#All],2,FALSE),"rood",IF(V$1&lt;VLOOKUP($A35,kritische_breedtes[#All],3,FALSE),"geel","groen"))</f>
        <v>geel</v>
      </c>
      <c r="W35" t="str">
        <f>IF(W$1&lt;VLOOKUP($A35,kritische_breedtes[#All],2,FALSE),"rood",IF(W$1&lt;VLOOKUP($A35,kritische_breedtes[#All],3,FALSE),"geel","groen"))</f>
        <v>geel</v>
      </c>
      <c r="X35" t="str">
        <f>IF(X$1&lt;VLOOKUP($A35,kritische_breedtes[#All],2,FALSE),"rood",IF(X$1&lt;VLOOKUP($A35,kritische_breedtes[#All],3,FALSE),"geel","groen"))</f>
        <v>geel</v>
      </c>
      <c r="Y35" t="str">
        <f>IF(Y$1&lt;VLOOKUP($A35,kritische_breedtes[#All],2,FALSE),"rood",IF(Y$1&lt;VLOOKUP($A35,kritische_breedtes[#All],3,FALSE),"geel","groen"))</f>
        <v>groen</v>
      </c>
      <c r="Z35" t="str">
        <f>IF(Z$1&lt;VLOOKUP($A35,kritische_breedtes[#All],2,FALSE),"rood",IF(Z$1&lt;VLOOKUP($A35,kritische_breedtes[#All],3,FALSE),"geel","groen"))</f>
        <v>groen</v>
      </c>
      <c r="AA35" t="str">
        <f>IF(AA$1&lt;VLOOKUP($A35,kritische_breedtes[#All],2,FALSE),"rood",IF(AA$1&lt;VLOOKUP($A35,kritische_breedtes[#All],3,FALSE),"geel","groen"))</f>
        <v>groen</v>
      </c>
      <c r="AB35" t="str">
        <f>IF(AB$1&lt;VLOOKUP($A35,kritische_breedtes[#All],2,FALSE),"rood",IF(AB$1&lt;VLOOKUP($A35,kritische_breedtes[#All],3,FALSE),"geel","groen"))</f>
        <v>groen</v>
      </c>
      <c r="AC35" t="str">
        <f>IF(AC$1&lt;VLOOKUP($A35,kritische_breedtes[#All],2,FALSE),"rood",IF(AC$1&lt;VLOOKUP($A35,kritische_breedtes[#All],3,FALSE),"geel","groen"))</f>
        <v>groen</v>
      </c>
      <c r="AD35" t="str">
        <f>IF(AD$1&lt;VLOOKUP($A35,kritische_breedtes[#All],2,FALSE),"rood",IF(AD$1&lt;VLOOKUP($A35,kritische_breedtes[#All],3,FALSE),"geel","groen"))</f>
        <v>groen</v>
      </c>
    </row>
    <row r="36" spans="1:30">
      <c r="A36" t="s">
        <v>157</v>
      </c>
      <c r="B36">
        <f>B32*duofietsers_var1*(1-vrachtverkeer_var1)*vrachtverkeer_var1*(1-duofietsers_var1)+B32*duofietsers_var1*vrachtverkeer_var1*(1-vrachtverkeer_var1)*(1-duofietsers_var1)+B32*(1-duofietsers_var1)*(1-vrachtverkeer_var1)*vrachtverkeer_var1*duofietsers_var1+B32*duofietsers_var1*vrachtverkeer_var1*(1-vrachtverkeer_var1)*(1-duofietsers_var1)</f>
        <v>2.4613720352941168E-2</v>
      </c>
      <c r="C36" t="str">
        <f>IF(C$1&lt;VLOOKUP($A36,kritische_breedtes[#All],2,FALSE),"rood",IF(C$1&lt;VLOOKUP($A36,kritische_breedtes[#All],3,FALSE),"geel","groen"))</f>
        <v>rood</v>
      </c>
      <c r="D36" t="str">
        <f>IF(D$1&lt;VLOOKUP($A36,kritische_breedtes[#All],2,FALSE),"rood",IF(D$1&lt;VLOOKUP($A36,kritische_breedtes[#All],3,FALSE),"geel","groen"))</f>
        <v>rood</v>
      </c>
      <c r="E36" t="str">
        <f>IF(E$1&lt;VLOOKUP($A36,kritische_breedtes[#All],2,FALSE),"rood",IF(E$1&lt;VLOOKUP($A36,kritische_breedtes[#All],3,FALSE),"geel","groen"))</f>
        <v>rood</v>
      </c>
      <c r="F36" t="str">
        <f>IF(F$1&lt;VLOOKUP($A36,kritische_breedtes[#All],2,FALSE),"rood",IF(F$1&lt;VLOOKUP($A36,kritische_breedtes[#All],3,FALSE),"geel","groen"))</f>
        <v>rood</v>
      </c>
      <c r="G36" t="str">
        <f>IF(G$1&lt;VLOOKUP($A36,kritische_breedtes[#All],2,FALSE),"rood",IF(G$1&lt;VLOOKUP($A36,kritische_breedtes[#All],3,FALSE),"geel","groen"))</f>
        <v>rood</v>
      </c>
      <c r="H36" t="str">
        <f>IF(H$1&lt;VLOOKUP($A36,kritische_breedtes[#All],2,FALSE),"rood",IF(H$1&lt;VLOOKUP($A36,kritische_breedtes[#All],3,FALSE),"geel","groen"))</f>
        <v>rood</v>
      </c>
      <c r="I36" t="str">
        <f>IF(I$1&lt;VLOOKUP($A36,kritische_breedtes[#All],2,FALSE),"rood",IF(I$1&lt;VLOOKUP($A36,kritische_breedtes[#All],3,FALSE),"geel","groen"))</f>
        <v>rood</v>
      </c>
      <c r="J36" t="str">
        <f>IF(J$1&lt;VLOOKUP($A36,kritische_breedtes[#All],2,FALSE),"rood",IF(J$1&lt;VLOOKUP($A36,kritische_breedtes[#All],3,FALSE),"geel","groen"))</f>
        <v>rood</v>
      </c>
      <c r="K36" t="str">
        <f>IF(K$1&lt;VLOOKUP($A36,kritische_breedtes[#All],2,FALSE),"rood",IF(K$1&lt;VLOOKUP($A36,kritische_breedtes[#All],3,FALSE),"geel","groen"))</f>
        <v>rood</v>
      </c>
      <c r="L36" t="str">
        <f>IF(L$1&lt;VLOOKUP($A36,kritische_breedtes[#All],2,FALSE),"rood",IF(L$1&lt;VLOOKUP($A36,kritische_breedtes[#All],3,FALSE),"geel","groen"))</f>
        <v>rood</v>
      </c>
      <c r="M36" t="str">
        <f>IF(M$1&lt;VLOOKUP($A36,kritische_breedtes[#All],2,FALSE),"rood",IF(M$1&lt;VLOOKUP($A36,kritische_breedtes[#All],3,FALSE),"geel","groen"))</f>
        <v>rood</v>
      </c>
      <c r="N36" t="str">
        <f>IF(N$1&lt;VLOOKUP($A36,kritische_breedtes[#All],2,FALSE),"rood",IF(N$1&lt;VLOOKUP($A36,kritische_breedtes[#All],3,FALSE),"geel","groen"))</f>
        <v>rood</v>
      </c>
      <c r="O36" t="str">
        <f>IF(O$1&lt;VLOOKUP($A36,kritische_breedtes[#All],2,FALSE),"rood",IF(O$1&lt;VLOOKUP($A36,kritische_breedtes[#All],3,FALSE),"geel","groen"))</f>
        <v>rood</v>
      </c>
      <c r="P36" t="str">
        <f>IF(P$1&lt;VLOOKUP($A36,kritische_breedtes[#All],2,FALSE),"rood",IF(P$1&lt;VLOOKUP($A36,kritische_breedtes[#All],3,FALSE),"geel","groen"))</f>
        <v>rood</v>
      </c>
      <c r="Q36" t="str">
        <f>IF(Q$1&lt;VLOOKUP($A36,kritische_breedtes[#All],2,FALSE),"rood",IF(Q$1&lt;VLOOKUP($A36,kritische_breedtes[#All],3,FALSE),"geel","groen"))</f>
        <v>rood</v>
      </c>
      <c r="R36" t="str">
        <f>IF(R$1&lt;VLOOKUP($A36,kritische_breedtes[#All],2,FALSE),"rood",IF(R$1&lt;VLOOKUP($A36,kritische_breedtes[#All],3,FALSE),"geel","groen"))</f>
        <v>rood</v>
      </c>
      <c r="S36" t="str">
        <f>IF(S$1&lt;VLOOKUP($A36,kritische_breedtes[#All],2,FALSE),"rood",IF(S$1&lt;VLOOKUP($A36,kritische_breedtes[#All],3,FALSE),"geel","groen"))</f>
        <v>rood</v>
      </c>
      <c r="T36" t="str">
        <f>IF(T$1&lt;VLOOKUP($A36,kritische_breedtes[#All],2,FALSE),"rood",IF(T$1&lt;VLOOKUP($A36,kritische_breedtes[#All],3,FALSE),"geel","groen"))</f>
        <v>rood</v>
      </c>
      <c r="U36" t="str">
        <f>IF(U$1&lt;VLOOKUP($A36,kritische_breedtes[#All],2,FALSE),"rood",IF(U$1&lt;VLOOKUP($A36,kritische_breedtes[#All],3,FALSE),"geel","groen"))</f>
        <v>rood</v>
      </c>
      <c r="V36" t="str">
        <f>IF(V$1&lt;VLOOKUP($A36,kritische_breedtes[#All],2,FALSE),"rood",IF(V$1&lt;VLOOKUP($A36,kritische_breedtes[#All],3,FALSE),"geel","groen"))</f>
        <v>rood</v>
      </c>
      <c r="W36" t="str">
        <f>IF(W$1&lt;VLOOKUP($A36,kritische_breedtes[#All],2,FALSE),"rood",IF(W$1&lt;VLOOKUP($A36,kritische_breedtes[#All],3,FALSE),"geel","groen"))</f>
        <v>rood</v>
      </c>
      <c r="X36" t="str">
        <f>IF(X$1&lt;VLOOKUP($A36,kritische_breedtes[#All],2,FALSE),"rood",IF(X$1&lt;VLOOKUP($A36,kritische_breedtes[#All],3,FALSE),"geel","groen"))</f>
        <v>geel</v>
      </c>
      <c r="Y36" t="str">
        <f>IF(Y$1&lt;VLOOKUP($A36,kritische_breedtes[#All],2,FALSE),"rood",IF(Y$1&lt;VLOOKUP($A36,kritische_breedtes[#All],3,FALSE),"geel","groen"))</f>
        <v>geel</v>
      </c>
      <c r="Z36" t="str">
        <f>IF(Z$1&lt;VLOOKUP($A36,kritische_breedtes[#All],2,FALSE),"rood",IF(Z$1&lt;VLOOKUP($A36,kritische_breedtes[#All],3,FALSE),"geel","groen"))</f>
        <v>geel</v>
      </c>
      <c r="AA36" t="str">
        <f>IF(AA$1&lt;VLOOKUP($A36,kritische_breedtes[#All],2,FALSE),"rood",IF(AA$1&lt;VLOOKUP($A36,kritische_breedtes[#All],3,FALSE),"geel","groen"))</f>
        <v>groen</v>
      </c>
      <c r="AB36" t="str">
        <f>IF(AB$1&lt;VLOOKUP($A36,kritische_breedtes[#All],2,FALSE),"rood",IF(AB$1&lt;VLOOKUP($A36,kritische_breedtes[#All],3,FALSE),"geel","groen"))</f>
        <v>groen</v>
      </c>
      <c r="AC36" t="str">
        <f>IF(AC$1&lt;VLOOKUP($A36,kritische_breedtes[#All],2,FALSE),"rood",IF(AC$1&lt;VLOOKUP($A36,kritische_breedtes[#All],3,FALSE),"geel","groen"))</f>
        <v>groen</v>
      </c>
      <c r="AD36" t="str">
        <f>IF(AD$1&lt;VLOOKUP($A36,kritische_breedtes[#All],2,FALSE),"rood",IF(AD$1&lt;VLOOKUP($A36,kritische_breedtes[#All],3,FALSE),"geel","groen"))</f>
        <v>groen</v>
      </c>
    </row>
    <row r="37" spans="1:30">
      <c r="A37" t="s">
        <v>160</v>
      </c>
      <c r="B37">
        <f>B32*(1-duofietsers_var1)*vrachtverkeer_var1*vrachtverkeer_var1*(1-duofietsers_var1)</f>
        <v>1.1302218529411761E-3</v>
      </c>
      <c r="C37" t="str">
        <f>IF(C$1&lt;VLOOKUP($A37,kritische_breedtes[#All],2,FALSE),"rood",IF(C$1&lt;VLOOKUP($A37,kritische_breedtes[#All],3,FALSE),"geel","groen"))</f>
        <v>rood</v>
      </c>
      <c r="D37" t="str">
        <f>IF(D$1&lt;VLOOKUP($A37,kritische_breedtes[#All],2,FALSE),"rood",IF(D$1&lt;VLOOKUP($A37,kritische_breedtes[#All],3,FALSE),"geel","groen"))</f>
        <v>rood</v>
      </c>
      <c r="E37" t="str">
        <f>IF(E$1&lt;VLOOKUP($A37,kritische_breedtes[#All],2,FALSE),"rood",IF(E$1&lt;VLOOKUP($A37,kritische_breedtes[#All],3,FALSE),"geel","groen"))</f>
        <v>rood</v>
      </c>
      <c r="F37" t="str">
        <f>IF(F$1&lt;VLOOKUP($A37,kritische_breedtes[#All],2,FALSE),"rood",IF(F$1&lt;VLOOKUP($A37,kritische_breedtes[#All],3,FALSE),"geel","groen"))</f>
        <v>rood</v>
      </c>
      <c r="G37" t="str">
        <f>IF(G$1&lt;VLOOKUP($A37,kritische_breedtes[#All],2,FALSE),"rood",IF(G$1&lt;VLOOKUP($A37,kritische_breedtes[#All],3,FALSE),"geel","groen"))</f>
        <v>rood</v>
      </c>
      <c r="H37" t="str">
        <f>IF(H$1&lt;VLOOKUP($A37,kritische_breedtes[#All],2,FALSE),"rood",IF(H$1&lt;VLOOKUP($A37,kritische_breedtes[#All],3,FALSE),"geel","groen"))</f>
        <v>rood</v>
      </c>
      <c r="I37" t="str">
        <f>IF(I$1&lt;VLOOKUP($A37,kritische_breedtes[#All],2,FALSE),"rood",IF(I$1&lt;VLOOKUP($A37,kritische_breedtes[#All],3,FALSE),"geel","groen"))</f>
        <v>rood</v>
      </c>
      <c r="J37" t="str">
        <f>IF(J$1&lt;VLOOKUP($A37,kritische_breedtes[#All],2,FALSE),"rood",IF(J$1&lt;VLOOKUP($A37,kritische_breedtes[#All],3,FALSE),"geel","groen"))</f>
        <v>rood</v>
      </c>
      <c r="K37" t="str">
        <f>IF(K$1&lt;VLOOKUP($A37,kritische_breedtes[#All],2,FALSE),"rood",IF(K$1&lt;VLOOKUP($A37,kritische_breedtes[#All],3,FALSE),"geel","groen"))</f>
        <v>rood</v>
      </c>
      <c r="L37" t="str">
        <f>IF(L$1&lt;VLOOKUP($A37,kritische_breedtes[#All],2,FALSE),"rood",IF(L$1&lt;VLOOKUP($A37,kritische_breedtes[#All],3,FALSE),"geel","groen"))</f>
        <v>rood</v>
      </c>
      <c r="M37" t="str">
        <f>IF(M$1&lt;VLOOKUP($A37,kritische_breedtes[#All],2,FALSE),"rood",IF(M$1&lt;VLOOKUP($A37,kritische_breedtes[#All],3,FALSE),"geel","groen"))</f>
        <v>rood</v>
      </c>
      <c r="N37" t="str">
        <f>IF(N$1&lt;VLOOKUP($A37,kritische_breedtes[#All],2,FALSE),"rood",IF(N$1&lt;VLOOKUP($A37,kritische_breedtes[#All],3,FALSE),"geel","groen"))</f>
        <v>rood</v>
      </c>
      <c r="O37" t="str">
        <f>IF(O$1&lt;VLOOKUP($A37,kritische_breedtes[#All],2,FALSE),"rood",IF(O$1&lt;VLOOKUP($A37,kritische_breedtes[#All],3,FALSE),"geel","groen"))</f>
        <v>rood</v>
      </c>
      <c r="P37" t="str">
        <f>IF(P$1&lt;VLOOKUP($A37,kritische_breedtes[#All],2,FALSE),"rood",IF(P$1&lt;VLOOKUP($A37,kritische_breedtes[#All],3,FALSE),"geel","groen"))</f>
        <v>rood</v>
      </c>
      <c r="Q37" t="str">
        <f>IF(Q$1&lt;VLOOKUP($A37,kritische_breedtes[#All],2,FALSE),"rood",IF(Q$1&lt;VLOOKUP($A37,kritische_breedtes[#All],3,FALSE),"geel","groen"))</f>
        <v>rood</v>
      </c>
      <c r="R37" t="str">
        <f>IF(R$1&lt;VLOOKUP($A37,kritische_breedtes[#All],2,FALSE),"rood",IF(R$1&lt;VLOOKUP($A37,kritische_breedtes[#All],3,FALSE),"geel","groen"))</f>
        <v>rood</v>
      </c>
      <c r="S37" t="str">
        <f>IF(S$1&lt;VLOOKUP($A37,kritische_breedtes[#All],2,FALSE),"rood",IF(S$1&lt;VLOOKUP($A37,kritische_breedtes[#All],3,FALSE),"geel","groen"))</f>
        <v>rood</v>
      </c>
      <c r="T37" t="str">
        <f>IF(T$1&lt;VLOOKUP($A37,kritische_breedtes[#All],2,FALSE),"rood",IF(T$1&lt;VLOOKUP($A37,kritische_breedtes[#All],3,FALSE),"geel","groen"))</f>
        <v>rood</v>
      </c>
      <c r="U37" t="str">
        <f>IF(U$1&lt;VLOOKUP($A37,kritische_breedtes[#All],2,FALSE),"rood",IF(U$1&lt;VLOOKUP($A37,kritische_breedtes[#All],3,FALSE),"geel","groen"))</f>
        <v>rood</v>
      </c>
      <c r="V37" t="str">
        <f>IF(V$1&lt;VLOOKUP($A37,kritische_breedtes[#All],2,FALSE),"rood",IF(V$1&lt;VLOOKUP($A37,kritische_breedtes[#All],3,FALSE),"geel","groen"))</f>
        <v>rood</v>
      </c>
      <c r="W37" t="str">
        <f>IF(W$1&lt;VLOOKUP($A37,kritische_breedtes[#All],2,FALSE),"rood",IF(W$1&lt;VLOOKUP($A37,kritische_breedtes[#All],3,FALSE),"geel","groen"))</f>
        <v>rood</v>
      </c>
      <c r="X37" t="str">
        <f>IF(X$1&lt;VLOOKUP($A37,kritische_breedtes[#All],2,FALSE),"rood",IF(X$1&lt;VLOOKUP($A37,kritische_breedtes[#All],3,FALSE),"geel","groen"))</f>
        <v>geel</v>
      </c>
      <c r="Y37" t="str">
        <f>IF(Y$1&lt;VLOOKUP($A37,kritische_breedtes[#All],2,FALSE),"rood",IF(Y$1&lt;VLOOKUP($A37,kritische_breedtes[#All],3,FALSE),"geel","groen"))</f>
        <v>geel</v>
      </c>
      <c r="Z37" t="str">
        <f>IF(Z$1&lt;VLOOKUP($A37,kritische_breedtes[#All],2,FALSE),"rood",IF(Z$1&lt;VLOOKUP($A37,kritische_breedtes[#All],3,FALSE),"geel","groen"))</f>
        <v>geel</v>
      </c>
      <c r="AA37" t="str">
        <f>IF(AA$1&lt;VLOOKUP($A37,kritische_breedtes[#All],2,FALSE),"rood",IF(AA$1&lt;VLOOKUP($A37,kritische_breedtes[#All],3,FALSE),"geel","groen"))</f>
        <v>groen</v>
      </c>
      <c r="AB37" t="str">
        <f>IF(AB$1&lt;VLOOKUP($A37,kritische_breedtes[#All],2,FALSE),"rood",IF(AB$1&lt;VLOOKUP($A37,kritische_breedtes[#All],3,FALSE),"geel","groen"))</f>
        <v>groen</v>
      </c>
      <c r="AC37" t="str">
        <f>IF(AC$1&lt;VLOOKUP($A37,kritische_breedtes[#All],2,FALSE),"rood",IF(AC$1&lt;VLOOKUP($A37,kritische_breedtes[#All],3,FALSE),"geel","groen"))</f>
        <v>groen</v>
      </c>
      <c r="AD37" t="str">
        <f>IF(AD$1&lt;VLOOKUP($A37,kritische_breedtes[#All],2,FALSE),"rood",IF(AD$1&lt;VLOOKUP($A37,kritische_breedtes[#All],3,FALSE),"geel","groen"))</f>
        <v>groen</v>
      </c>
    </row>
    <row r="38" spans="1:30">
      <c r="A38" t="s">
        <v>163</v>
      </c>
      <c r="B38">
        <f>B32*duofietsers_var1*vrachtverkeer_var1*vrachtverkeer_var1*(1-duofietsers_var1)+B32*(1-duofietsers_var1)*vrachtverkeer_var1*vrachtverkeer_var1*duofietsers_var1</f>
        <v>2.5116041176470583E-4</v>
      </c>
      <c r="C38" t="str">
        <f>IF(C$1&lt;VLOOKUP($A38,kritische_breedtes[#All],2,FALSE),"rood",IF(C$1&lt;VLOOKUP($A38,kritische_breedtes[#All],3,FALSE),"geel","groen"))</f>
        <v>rood</v>
      </c>
      <c r="D38" t="str">
        <f>IF(D$1&lt;VLOOKUP($A38,kritische_breedtes[#All],2,FALSE),"rood",IF(D$1&lt;VLOOKUP($A38,kritische_breedtes[#All],3,FALSE),"geel","groen"))</f>
        <v>rood</v>
      </c>
      <c r="E38" t="str">
        <f>IF(E$1&lt;VLOOKUP($A38,kritische_breedtes[#All],2,FALSE),"rood",IF(E$1&lt;VLOOKUP($A38,kritische_breedtes[#All],3,FALSE),"geel","groen"))</f>
        <v>rood</v>
      </c>
      <c r="F38" t="str">
        <f>IF(F$1&lt;VLOOKUP($A38,kritische_breedtes[#All],2,FALSE),"rood",IF(F$1&lt;VLOOKUP($A38,kritische_breedtes[#All],3,FALSE),"geel","groen"))</f>
        <v>rood</v>
      </c>
      <c r="G38" t="str">
        <f>IF(G$1&lt;VLOOKUP($A38,kritische_breedtes[#All],2,FALSE),"rood",IF(G$1&lt;VLOOKUP($A38,kritische_breedtes[#All],3,FALSE),"geel","groen"))</f>
        <v>rood</v>
      </c>
      <c r="H38" t="str">
        <f>IF(H$1&lt;VLOOKUP($A38,kritische_breedtes[#All],2,FALSE),"rood",IF(H$1&lt;VLOOKUP($A38,kritische_breedtes[#All],3,FALSE),"geel","groen"))</f>
        <v>rood</v>
      </c>
      <c r="I38" t="str">
        <f>IF(I$1&lt;VLOOKUP($A38,kritische_breedtes[#All],2,FALSE),"rood",IF(I$1&lt;VLOOKUP($A38,kritische_breedtes[#All],3,FALSE),"geel","groen"))</f>
        <v>rood</v>
      </c>
      <c r="J38" t="str">
        <f>IF(J$1&lt;VLOOKUP($A38,kritische_breedtes[#All],2,FALSE),"rood",IF(J$1&lt;VLOOKUP($A38,kritische_breedtes[#All],3,FALSE),"geel","groen"))</f>
        <v>rood</v>
      </c>
      <c r="K38" t="str">
        <f>IF(K$1&lt;VLOOKUP($A38,kritische_breedtes[#All],2,FALSE),"rood",IF(K$1&lt;VLOOKUP($A38,kritische_breedtes[#All],3,FALSE),"geel","groen"))</f>
        <v>rood</v>
      </c>
      <c r="L38" t="str">
        <f>IF(L$1&lt;VLOOKUP($A38,kritische_breedtes[#All],2,FALSE),"rood",IF(L$1&lt;VLOOKUP($A38,kritische_breedtes[#All],3,FALSE),"geel","groen"))</f>
        <v>rood</v>
      </c>
      <c r="M38" t="str">
        <f>IF(M$1&lt;VLOOKUP($A38,kritische_breedtes[#All],2,FALSE),"rood",IF(M$1&lt;VLOOKUP($A38,kritische_breedtes[#All],3,FALSE),"geel","groen"))</f>
        <v>rood</v>
      </c>
      <c r="N38" t="str">
        <f>IF(N$1&lt;VLOOKUP($A38,kritische_breedtes[#All],2,FALSE),"rood",IF(N$1&lt;VLOOKUP($A38,kritische_breedtes[#All],3,FALSE),"geel","groen"))</f>
        <v>rood</v>
      </c>
      <c r="O38" t="str">
        <f>IF(O$1&lt;VLOOKUP($A38,kritische_breedtes[#All],2,FALSE),"rood",IF(O$1&lt;VLOOKUP($A38,kritische_breedtes[#All],3,FALSE),"geel","groen"))</f>
        <v>rood</v>
      </c>
      <c r="P38" t="str">
        <f>IF(P$1&lt;VLOOKUP($A38,kritische_breedtes[#All],2,FALSE),"rood",IF(P$1&lt;VLOOKUP($A38,kritische_breedtes[#All],3,FALSE),"geel","groen"))</f>
        <v>rood</v>
      </c>
      <c r="Q38" t="str">
        <f>IF(Q$1&lt;VLOOKUP($A38,kritische_breedtes[#All],2,FALSE),"rood",IF(Q$1&lt;VLOOKUP($A38,kritische_breedtes[#All],3,FALSE),"geel","groen"))</f>
        <v>rood</v>
      </c>
      <c r="R38" t="str">
        <f>IF(R$1&lt;VLOOKUP($A38,kritische_breedtes[#All],2,FALSE),"rood",IF(R$1&lt;VLOOKUP($A38,kritische_breedtes[#All],3,FALSE),"geel","groen"))</f>
        <v>rood</v>
      </c>
      <c r="S38" t="str">
        <f>IF(S$1&lt;VLOOKUP($A38,kritische_breedtes[#All],2,FALSE),"rood",IF(S$1&lt;VLOOKUP($A38,kritische_breedtes[#All],3,FALSE),"geel","groen"))</f>
        <v>rood</v>
      </c>
      <c r="T38" t="str">
        <f>IF(T$1&lt;VLOOKUP($A38,kritische_breedtes[#All],2,FALSE),"rood",IF(T$1&lt;VLOOKUP($A38,kritische_breedtes[#All],3,FALSE),"geel","groen"))</f>
        <v>rood</v>
      </c>
      <c r="U38" t="str">
        <f>IF(U$1&lt;VLOOKUP($A38,kritische_breedtes[#All],2,FALSE),"rood",IF(U$1&lt;VLOOKUP($A38,kritische_breedtes[#All],3,FALSE),"geel","groen"))</f>
        <v>rood</v>
      </c>
      <c r="V38" t="str">
        <f>IF(V$1&lt;VLOOKUP($A38,kritische_breedtes[#All],2,FALSE),"rood",IF(V$1&lt;VLOOKUP($A38,kritische_breedtes[#All],3,FALSE),"geel","groen"))</f>
        <v>rood</v>
      </c>
      <c r="W38" t="str">
        <f>IF(W$1&lt;VLOOKUP($A38,kritische_breedtes[#All],2,FALSE),"rood",IF(W$1&lt;VLOOKUP($A38,kritische_breedtes[#All],3,FALSE),"geel","groen"))</f>
        <v>rood</v>
      </c>
      <c r="X38" t="str">
        <f>IF(X$1&lt;VLOOKUP($A38,kritische_breedtes[#All],2,FALSE),"rood",IF(X$1&lt;VLOOKUP($A38,kritische_breedtes[#All],3,FALSE),"geel","groen"))</f>
        <v>rood</v>
      </c>
      <c r="Y38" t="str">
        <f>IF(Y$1&lt;VLOOKUP($A38,kritische_breedtes[#All],2,FALSE),"rood",IF(Y$1&lt;VLOOKUP($A38,kritische_breedtes[#All],3,FALSE),"geel","groen"))</f>
        <v>rood</v>
      </c>
      <c r="Z38" t="str">
        <f>IF(Z$1&lt;VLOOKUP($A38,kritische_breedtes[#All],2,FALSE),"rood",IF(Z$1&lt;VLOOKUP($A38,kritische_breedtes[#All],3,FALSE),"geel","groen"))</f>
        <v>geel</v>
      </c>
      <c r="AA38" t="str">
        <f>IF(AA$1&lt;VLOOKUP($A38,kritische_breedtes[#All],2,FALSE),"rood",IF(AA$1&lt;VLOOKUP($A38,kritische_breedtes[#All],3,FALSE),"geel","groen"))</f>
        <v>geel</v>
      </c>
      <c r="AB38" t="str">
        <f>IF(AB$1&lt;VLOOKUP($A38,kritische_breedtes[#All],2,FALSE),"rood",IF(AB$1&lt;VLOOKUP($A38,kritische_breedtes[#All],3,FALSE),"geel","groen"))</f>
        <v>geel</v>
      </c>
      <c r="AC38" t="str">
        <f>IF(AC$1&lt;VLOOKUP($A38,kritische_breedtes[#All],2,FALSE),"rood",IF(AC$1&lt;VLOOKUP($A38,kritische_breedtes[#All],3,FALSE),"geel","groen"))</f>
        <v>groen</v>
      </c>
      <c r="AD38" t="str">
        <f>IF(AD$1&lt;VLOOKUP($A38,kritische_breedtes[#All],2,FALSE),"rood",IF(AD$1&lt;VLOOKUP($A38,kritische_breedtes[#All],3,FALSE),"geel","groen"))</f>
        <v>groen</v>
      </c>
    </row>
    <row r="39" spans="1:30">
      <c r="A39" t="s">
        <v>166</v>
      </c>
      <c r="B39">
        <f>B32*duofietsers_var1*(1-vrachtverkeer_var1)*(1-vrachtverkeer_var1)*duofietsers_var1</f>
        <v>3.3502008258169923E-2</v>
      </c>
      <c r="C39" t="str">
        <f>IF(C$1&lt;VLOOKUP($A39,kritische_breedtes[#All],2,FALSE),"rood",IF(C$1&lt;VLOOKUP($A39,kritische_breedtes[#All],3,FALSE),"geel","groen"))</f>
        <v>rood</v>
      </c>
      <c r="D39" t="str">
        <f>IF(D$1&lt;VLOOKUP($A39,kritische_breedtes[#All],2,FALSE),"rood",IF(D$1&lt;VLOOKUP($A39,kritische_breedtes[#All],3,FALSE),"geel","groen"))</f>
        <v>rood</v>
      </c>
      <c r="E39" t="str">
        <f>IF(E$1&lt;VLOOKUP($A39,kritische_breedtes[#All],2,FALSE),"rood",IF(E$1&lt;VLOOKUP($A39,kritische_breedtes[#All],3,FALSE),"geel","groen"))</f>
        <v>rood</v>
      </c>
      <c r="F39" t="str">
        <f>IF(F$1&lt;VLOOKUP($A39,kritische_breedtes[#All],2,FALSE),"rood",IF(F$1&lt;VLOOKUP($A39,kritische_breedtes[#All],3,FALSE),"geel","groen"))</f>
        <v>rood</v>
      </c>
      <c r="G39" t="str">
        <f>IF(G$1&lt;VLOOKUP($A39,kritische_breedtes[#All],2,FALSE),"rood",IF(G$1&lt;VLOOKUP($A39,kritische_breedtes[#All],3,FALSE),"geel","groen"))</f>
        <v>rood</v>
      </c>
      <c r="H39" t="str">
        <f>IF(H$1&lt;VLOOKUP($A39,kritische_breedtes[#All],2,FALSE),"rood",IF(H$1&lt;VLOOKUP($A39,kritische_breedtes[#All],3,FALSE),"geel","groen"))</f>
        <v>rood</v>
      </c>
      <c r="I39" t="str">
        <f>IF(I$1&lt;VLOOKUP($A39,kritische_breedtes[#All],2,FALSE),"rood",IF(I$1&lt;VLOOKUP($A39,kritische_breedtes[#All],3,FALSE),"geel","groen"))</f>
        <v>rood</v>
      </c>
      <c r="J39" t="str">
        <f>IF(J$1&lt;VLOOKUP($A39,kritische_breedtes[#All],2,FALSE),"rood",IF(J$1&lt;VLOOKUP($A39,kritische_breedtes[#All],3,FALSE),"geel","groen"))</f>
        <v>rood</v>
      </c>
      <c r="K39" t="str">
        <f>IF(K$1&lt;VLOOKUP($A39,kritische_breedtes[#All],2,FALSE),"rood",IF(K$1&lt;VLOOKUP($A39,kritische_breedtes[#All],3,FALSE),"geel","groen"))</f>
        <v>rood</v>
      </c>
      <c r="L39" t="str">
        <f>IF(L$1&lt;VLOOKUP($A39,kritische_breedtes[#All],2,FALSE),"rood",IF(L$1&lt;VLOOKUP($A39,kritische_breedtes[#All],3,FALSE),"geel","groen"))</f>
        <v>rood</v>
      </c>
      <c r="M39" t="str">
        <f>IF(M$1&lt;VLOOKUP($A39,kritische_breedtes[#All],2,FALSE),"rood",IF(M$1&lt;VLOOKUP($A39,kritische_breedtes[#All],3,FALSE),"geel","groen"))</f>
        <v>rood</v>
      </c>
      <c r="N39" t="str">
        <f>IF(N$1&lt;VLOOKUP($A39,kritische_breedtes[#All],2,FALSE),"rood",IF(N$1&lt;VLOOKUP($A39,kritische_breedtes[#All],3,FALSE),"geel","groen"))</f>
        <v>rood</v>
      </c>
      <c r="O39" t="str">
        <f>IF(O$1&lt;VLOOKUP($A39,kritische_breedtes[#All],2,FALSE),"rood",IF(O$1&lt;VLOOKUP($A39,kritische_breedtes[#All],3,FALSE),"geel","groen"))</f>
        <v>rood</v>
      </c>
      <c r="P39" t="str">
        <f>IF(P$1&lt;VLOOKUP($A39,kritische_breedtes[#All],2,FALSE),"rood",IF(P$1&lt;VLOOKUP($A39,kritische_breedtes[#All],3,FALSE),"geel","groen"))</f>
        <v>rood</v>
      </c>
      <c r="Q39" t="str">
        <f>IF(Q$1&lt;VLOOKUP($A39,kritische_breedtes[#All],2,FALSE),"rood",IF(Q$1&lt;VLOOKUP($A39,kritische_breedtes[#All],3,FALSE),"geel","groen"))</f>
        <v>rood</v>
      </c>
      <c r="R39" t="str">
        <f>IF(R$1&lt;VLOOKUP($A39,kritische_breedtes[#All],2,FALSE),"rood",IF(R$1&lt;VLOOKUP($A39,kritische_breedtes[#All],3,FALSE),"geel","groen"))</f>
        <v>rood</v>
      </c>
      <c r="S39" t="str">
        <f>IF(S$1&lt;VLOOKUP($A39,kritische_breedtes[#All],2,FALSE),"rood",IF(S$1&lt;VLOOKUP($A39,kritische_breedtes[#All],3,FALSE),"geel","groen"))</f>
        <v>rood</v>
      </c>
      <c r="T39" t="str">
        <f>IF(T$1&lt;VLOOKUP($A39,kritische_breedtes[#All],2,FALSE),"rood",IF(T$1&lt;VLOOKUP($A39,kritische_breedtes[#All],3,FALSE),"geel","groen"))</f>
        <v>rood</v>
      </c>
      <c r="U39" t="str">
        <f>IF(U$1&lt;VLOOKUP($A39,kritische_breedtes[#All],2,FALSE),"rood",IF(U$1&lt;VLOOKUP($A39,kritische_breedtes[#All],3,FALSE),"geel","groen"))</f>
        <v>rood</v>
      </c>
      <c r="V39" t="str">
        <f>IF(V$1&lt;VLOOKUP($A39,kritische_breedtes[#All],2,FALSE),"rood",IF(V$1&lt;VLOOKUP($A39,kritische_breedtes[#All],3,FALSE),"geel","groen"))</f>
        <v>rood</v>
      </c>
      <c r="W39" t="str">
        <f>IF(W$1&lt;VLOOKUP($A39,kritische_breedtes[#All],2,FALSE),"rood",IF(W$1&lt;VLOOKUP($A39,kritische_breedtes[#All],3,FALSE),"geel","groen"))</f>
        <v>rood</v>
      </c>
      <c r="X39" t="str">
        <f>IF(X$1&lt;VLOOKUP($A39,kritische_breedtes[#All],2,FALSE),"rood",IF(X$1&lt;VLOOKUP($A39,kritische_breedtes[#All],3,FALSE),"geel","groen"))</f>
        <v>geel</v>
      </c>
      <c r="Y39" t="str">
        <f>IF(Y$1&lt;VLOOKUP($A39,kritische_breedtes[#All],2,FALSE),"rood",IF(Y$1&lt;VLOOKUP($A39,kritische_breedtes[#All],3,FALSE),"geel","groen"))</f>
        <v>geel</v>
      </c>
      <c r="Z39" t="str">
        <f>IF(Z$1&lt;VLOOKUP($A39,kritische_breedtes[#All],2,FALSE),"rood",IF(Z$1&lt;VLOOKUP($A39,kritische_breedtes[#All],3,FALSE),"geel","groen"))</f>
        <v>geel</v>
      </c>
      <c r="AA39" t="str">
        <f>IF(AA$1&lt;VLOOKUP($A39,kritische_breedtes[#All],2,FALSE),"rood",IF(AA$1&lt;VLOOKUP($A39,kritische_breedtes[#All],3,FALSE),"geel","groen"))</f>
        <v>groen</v>
      </c>
      <c r="AB39" t="str">
        <f>IF(AB$1&lt;VLOOKUP($A39,kritische_breedtes[#All],2,FALSE),"rood",IF(AB$1&lt;VLOOKUP($A39,kritische_breedtes[#All],3,FALSE),"geel","groen"))</f>
        <v>groen</v>
      </c>
      <c r="AC39" t="str">
        <f>IF(AC$1&lt;VLOOKUP($A39,kritische_breedtes[#All],2,FALSE),"rood",IF(AC$1&lt;VLOOKUP($A39,kritische_breedtes[#All],3,FALSE),"geel","groen"))</f>
        <v>groen</v>
      </c>
      <c r="AD39" t="str">
        <f>IF(AD$1&lt;VLOOKUP($A39,kritische_breedtes[#All],2,FALSE),"rood",IF(AD$1&lt;VLOOKUP($A39,kritische_breedtes[#All],3,FALSE),"geel","groen"))</f>
        <v>groen</v>
      </c>
    </row>
    <row r="40" spans="1:30">
      <c r="A40" t="s">
        <v>168</v>
      </c>
      <c r="B40">
        <f>B32*duofietsers_var1*(1-vrachtverkeer_var1)*vrachtverkeer_var1*duofietsers_var1+B32*duofietsers_var1*vrachtverkeer_var1*(1-vrachtverkeer_var1)*duofietsers_var1</f>
        <v>1.3674289084967318E-3</v>
      </c>
      <c r="C40" t="str">
        <f>IF(C$1&lt;VLOOKUP($A40,kritische_breedtes[#All],2,FALSE),"rood",IF(C$1&lt;VLOOKUP($A40,kritische_breedtes[#All],3,FALSE),"geel","groen"))</f>
        <v>rood</v>
      </c>
      <c r="D40" t="str">
        <f>IF(D$1&lt;VLOOKUP($A40,kritische_breedtes[#All],2,FALSE),"rood",IF(D$1&lt;VLOOKUP($A40,kritische_breedtes[#All],3,FALSE),"geel","groen"))</f>
        <v>rood</v>
      </c>
      <c r="E40" t="str">
        <f>IF(E$1&lt;VLOOKUP($A40,kritische_breedtes[#All],2,FALSE),"rood",IF(E$1&lt;VLOOKUP($A40,kritische_breedtes[#All],3,FALSE),"geel","groen"))</f>
        <v>rood</v>
      </c>
      <c r="F40" t="str">
        <f>IF(F$1&lt;VLOOKUP($A40,kritische_breedtes[#All],2,FALSE),"rood",IF(F$1&lt;VLOOKUP($A40,kritische_breedtes[#All],3,FALSE),"geel","groen"))</f>
        <v>rood</v>
      </c>
      <c r="G40" t="str">
        <f>IF(G$1&lt;VLOOKUP($A40,kritische_breedtes[#All],2,FALSE),"rood",IF(G$1&lt;VLOOKUP($A40,kritische_breedtes[#All],3,FALSE),"geel","groen"))</f>
        <v>rood</v>
      </c>
      <c r="H40" t="str">
        <f>IF(H$1&lt;VLOOKUP($A40,kritische_breedtes[#All],2,FALSE),"rood",IF(H$1&lt;VLOOKUP($A40,kritische_breedtes[#All],3,FALSE),"geel","groen"))</f>
        <v>rood</v>
      </c>
      <c r="I40" t="str">
        <f>IF(I$1&lt;VLOOKUP($A40,kritische_breedtes[#All],2,FALSE),"rood",IF(I$1&lt;VLOOKUP($A40,kritische_breedtes[#All],3,FALSE),"geel","groen"))</f>
        <v>rood</v>
      </c>
      <c r="J40" t="str">
        <f>IF(J$1&lt;VLOOKUP($A40,kritische_breedtes[#All],2,FALSE),"rood",IF(J$1&lt;VLOOKUP($A40,kritische_breedtes[#All],3,FALSE),"geel","groen"))</f>
        <v>rood</v>
      </c>
      <c r="K40" t="str">
        <f>IF(K$1&lt;VLOOKUP($A40,kritische_breedtes[#All],2,FALSE),"rood",IF(K$1&lt;VLOOKUP($A40,kritische_breedtes[#All],3,FALSE),"geel","groen"))</f>
        <v>rood</v>
      </c>
      <c r="L40" t="str">
        <f>IF(L$1&lt;VLOOKUP($A40,kritische_breedtes[#All],2,FALSE),"rood",IF(L$1&lt;VLOOKUP($A40,kritische_breedtes[#All],3,FALSE),"geel","groen"))</f>
        <v>rood</v>
      </c>
      <c r="M40" t="str">
        <f>IF(M$1&lt;VLOOKUP($A40,kritische_breedtes[#All],2,FALSE),"rood",IF(M$1&lt;VLOOKUP($A40,kritische_breedtes[#All],3,FALSE),"geel","groen"))</f>
        <v>rood</v>
      </c>
      <c r="N40" t="str">
        <f>IF(N$1&lt;VLOOKUP($A40,kritische_breedtes[#All],2,FALSE),"rood",IF(N$1&lt;VLOOKUP($A40,kritische_breedtes[#All],3,FALSE),"geel","groen"))</f>
        <v>rood</v>
      </c>
      <c r="O40" t="str">
        <f>IF(O$1&lt;VLOOKUP($A40,kritische_breedtes[#All],2,FALSE),"rood",IF(O$1&lt;VLOOKUP($A40,kritische_breedtes[#All],3,FALSE),"geel","groen"))</f>
        <v>rood</v>
      </c>
      <c r="P40" t="str">
        <f>IF(P$1&lt;VLOOKUP($A40,kritische_breedtes[#All],2,FALSE),"rood",IF(P$1&lt;VLOOKUP($A40,kritische_breedtes[#All],3,FALSE),"geel","groen"))</f>
        <v>rood</v>
      </c>
      <c r="Q40" t="str">
        <f>IF(Q$1&lt;VLOOKUP($A40,kritische_breedtes[#All],2,FALSE),"rood",IF(Q$1&lt;VLOOKUP($A40,kritische_breedtes[#All],3,FALSE),"geel","groen"))</f>
        <v>rood</v>
      </c>
      <c r="R40" t="str">
        <f>IF(R$1&lt;VLOOKUP($A40,kritische_breedtes[#All],2,FALSE),"rood",IF(R$1&lt;VLOOKUP($A40,kritische_breedtes[#All],3,FALSE),"geel","groen"))</f>
        <v>rood</v>
      </c>
      <c r="S40" t="str">
        <f>IF(S$1&lt;VLOOKUP($A40,kritische_breedtes[#All],2,FALSE),"rood",IF(S$1&lt;VLOOKUP($A40,kritische_breedtes[#All],3,FALSE),"geel","groen"))</f>
        <v>rood</v>
      </c>
      <c r="T40" t="str">
        <f>IF(T$1&lt;VLOOKUP($A40,kritische_breedtes[#All],2,FALSE),"rood",IF(T$1&lt;VLOOKUP($A40,kritische_breedtes[#All],3,FALSE),"geel","groen"))</f>
        <v>rood</v>
      </c>
      <c r="U40" t="str">
        <f>IF(U$1&lt;VLOOKUP($A40,kritische_breedtes[#All],2,FALSE),"rood",IF(U$1&lt;VLOOKUP($A40,kritische_breedtes[#All],3,FALSE),"geel","groen"))</f>
        <v>rood</v>
      </c>
      <c r="V40" t="str">
        <f>IF(V$1&lt;VLOOKUP($A40,kritische_breedtes[#All],2,FALSE),"rood",IF(V$1&lt;VLOOKUP($A40,kritische_breedtes[#All],3,FALSE),"geel","groen"))</f>
        <v>rood</v>
      </c>
      <c r="W40" t="str">
        <f>IF(W$1&lt;VLOOKUP($A40,kritische_breedtes[#All],2,FALSE),"rood",IF(W$1&lt;VLOOKUP($A40,kritische_breedtes[#All],3,FALSE),"geel","groen"))</f>
        <v>rood</v>
      </c>
      <c r="X40" t="str">
        <f>IF(X$1&lt;VLOOKUP($A40,kritische_breedtes[#All],2,FALSE),"rood",IF(X$1&lt;VLOOKUP($A40,kritische_breedtes[#All],3,FALSE),"geel","groen"))</f>
        <v>rood</v>
      </c>
      <c r="Y40" t="str">
        <f>IF(Y$1&lt;VLOOKUP($A40,kritische_breedtes[#All],2,FALSE),"rood",IF(Y$1&lt;VLOOKUP($A40,kritische_breedtes[#All],3,FALSE),"geel","groen"))</f>
        <v>rood</v>
      </c>
      <c r="Z40" t="str">
        <f>IF(Z$1&lt;VLOOKUP($A40,kritische_breedtes[#All],2,FALSE),"rood",IF(Z$1&lt;VLOOKUP($A40,kritische_breedtes[#All],3,FALSE),"geel","groen"))</f>
        <v>geel</v>
      </c>
      <c r="AA40" t="str">
        <f>IF(AA$1&lt;VLOOKUP($A40,kritische_breedtes[#All],2,FALSE),"rood",IF(AA$1&lt;VLOOKUP($A40,kritische_breedtes[#All],3,FALSE),"geel","groen"))</f>
        <v>geel</v>
      </c>
      <c r="AB40" t="str">
        <f>IF(AB$1&lt;VLOOKUP($A40,kritische_breedtes[#All],2,FALSE),"rood",IF(AB$1&lt;VLOOKUP($A40,kritische_breedtes[#All],3,FALSE),"geel","groen"))</f>
        <v>geel</v>
      </c>
      <c r="AC40" t="str">
        <f>IF(AC$1&lt;VLOOKUP($A40,kritische_breedtes[#All],2,FALSE),"rood",IF(AC$1&lt;VLOOKUP($A40,kritische_breedtes[#All],3,FALSE),"geel","groen"))</f>
        <v>groen</v>
      </c>
      <c r="AD40" t="str">
        <f>IF(AD$1&lt;VLOOKUP($A40,kritische_breedtes[#All],2,FALSE),"rood",IF(AD$1&lt;VLOOKUP($A40,kritische_breedtes[#All],3,FALSE),"geel","groen"))</f>
        <v>groen</v>
      </c>
    </row>
    <row r="41" spans="1:30">
      <c r="A41" t="s">
        <v>170</v>
      </c>
      <c r="B41">
        <f>B32*duofietsers_var1*vrachtverkeer_var1*vrachtverkeer_var1*duofietsers_var1</f>
        <v>1.3953356209150325E-5</v>
      </c>
      <c r="C41" t="str">
        <f>IF(C$1&lt;VLOOKUP($A41,kritische_breedtes[#All],2,FALSE),"rood",IF(C$1&lt;VLOOKUP($A41,kritische_breedtes[#All],3,FALSE),"geel","groen"))</f>
        <v>rood</v>
      </c>
      <c r="D41" t="str">
        <f>IF(D$1&lt;VLOOKUP($A41,kritische_breedtes[#All],2,FALSE),"rood",IF(D$1&lt;VLOOKUP($A41,kritische_breedtes[#All],3,FALSE),"geel","groen"))</f>
        <v>rood</v>
      </c>
      <c r="E41" t="str">
        <f>IF(E$1&lt;VLOOKUP($A41,kritische_breedtes[#All],2,FALSE),"rood",IF(E$1&lt;VLOOKUP($A41,kritische_breedtes[#All],3,FALSE),"geel","groen"))</f>
        <v>rood</v>
      </c>
      <c r="F41" t="str">
        <f>IF(F$1&lt;VLOOKUP($A41,kritische_breedtes[#All],2,FALSE),"rood",IF(F$1&lt;VLOOKUP($A41,kritische_breedtes[#All],3,FALSE),"geel","groen"))</f>
        <v>rood</v>
      </c>
      <c r="G41" t="str">
        <f>IF(G$1&lt;VLOOKUP($A41,kritische_breedtes[#All],2,FALSE),"rood",IF(G$1&lt;VLOOKUP($A41,kritische_breedtes[#All],3,FALSE),"geel","groen"))</f>
        <v>rood</v>
      </c>
      <c r="H41" t="str">
        <f>IF(H$1&lt;VLOOKUP($A41,kritische_breedtes[#All],2,FALSE),"rood",IF(H$1&lt;VLOOKUP($A41,kritische_breedtes[#All],3,FALSE),"geel","groen"))</f>
        <v>rood</v>
      </c>
      <c r="I41" t="str">
        <f>IF(I$1&lt;VLOOKUP($A41,kritische_breedtes[#All],2,FALSE),"rood",IF(I$1&lt;VLOOKUP($A41,kritische_breedtes[#All],3,FALSE),"geel","groen"))</f>
        <v>rood</v>
      </c>
      <c r="J41" t="str">
        <f>IF(J$1&lt;VLOOKUP($A41,kritische_breedtes[#All],2,FALSE),"rood",IF(J$1&lt;VLOOKUP($A41,kritische_breedtes[#All],3,FALSE),"geel","groen"))</f>
        <v>rood</v>
      </c>
      <c r="K41" t="str">
        <f>IF(K$1&lt;VLOOKUP($A41,kritische_breedtes[#All],2,FALSE),"rood",IF(K$1&lt;VLOOKUP($A41,kritische_breedtes[#All],3,FALSE),"geel","groen"))</f>
        <v>rood</v>
      </c>
      <c r="L41" t="str">
        <f>IF(L$1&lt;VLOOKUP($A41,kritische_breedtes[#All],2,FALSE),"rood",IF(L$1&lt;VLOOKUP($A41,kritische_breedtes[#All],3,FALSE),"geel","groen"))</f>
        <v>rood</v>
      </c>
      <c r="M41" t="str">
        <f>IF(M$1&lt;VLOOKUP($A41,kritische_breedtes[#All],2,FALSE),"rood",IF(M$1&lt;VLOOKUP($A41,kritische_breedtes[#All],3,FALSE),"geel","groen"))</f>
        <v>rood</v>
      </c>
      <c r="N41" t="str">
        <f>IF(N$1&lt;VLOOKUP($A41,kritische_breedtes[#All],2,FALSE),"rood",IF(N$1&lt;VLOOKUP($A41,kritische_breedtes[#All],3,FALSE),"geel","groen"))</f>
        <v>rood</v>
      </c>
      <c r="O41" t="str">
        <f>IF(O$1&lt;VLOOKUP($A41,kritische_breedtes[#All],2,FALSE),"rood",IF(O$1&lt;VLOOKUP($A41,kritische_breedtes[#All],3,FALSE),"geel","groen"))</f>
        <v>rood</v>
      </c>
      <c r="P41" t="str">
        <f>IF(P$1&lt;VLOOKUP($A41,kritische_breedtes[#All],2,FALSE),"rood",IF(P$1&lt;VLOOKUP($A41,kritische_breedtes[#All],3,FALSE),"geel","groen"))</f>
        <v>rood</v>
      </c>
      <c r="Q41" t="str">
        <f>IF(Q$1&lt;VLOOKUP($A41,kritische_breedtes[#All],2,FALSE),"rood",IF(Q$1&lt;VLOOKUP($A41,kritische_breedtes[#All],3,FALSE),"geel","groen"))</f>
        <v>rood</v>
      </c>
      <c r="R41" t="str">
        <f>IF(R$1&lt;VLOOKUP($A41,kritische_breedtes[#All],2,FALSE),"rood",IF(R$1&lt;VLOOKUP($A41,kritische_breedtes[#All],3,FALSE),"geel","groen"))</f>
        <v>rood</v>
      </c>
      <c r="S41" t="str">
        <f>IF(S$1&lt;VLOOKUP($A41,kritische_breedtes[#All],2,FALSE),"rood",IF(S$1&lt;VLOOKUP($A41,kritische_breedtes[#All],3,FALSE),"geel","groen"))</f>
        <v>rood</v>
      </c>
      <c r="T41" t="str">
        <f>IF(T$1&lt;VLOOKUP($A41,kritische_breedtes[#All],2,FALSE),"rood",IF(T$1&lt;VLOOKUP($A41,kritische_breedtes[#All],3,FALSE),"geel","groen"))</f>
        <v>rood</v>
      </c>
      <c r="U41" t="str">
        <f>IF(U$1&lt;VLOOKUP($A41,kritische_breedtes[#All],2,FALSE),"rood",IF(U$1&lt;VLOOKUP($A41,kritische_breedtes[#All],3,FALSE),"geel","groen"))</f>
        <v>rood</v>
      </c>
      <c r="V41" t="str">
        <f>IF(V$1&lt;VLOOKUP($A41,kritische_breedtes[#All],2,FALSE),"rood",IF(V$1&lt;VLOOKUP($A41,kritische_breedtes[#All],3,FALSE),"geel","groen"))</f>
        <v>rood</v>
      </c>
      <c r="W41" t="str">
        <f>IF(W$1&lt;VLOOKUP($A41,kritische_breedtes[#All],2,FALSE),"rood",IF(W$1&lt;VLOOKUP($A41,kritische_breedtes[#All],3,FALSE),"geel","groen"))</f>
        <v>rood</v>
      </c>
      <c r="X41" t="str">
        <f>IF(X$1&lt;VLOOKUP($A41,kritische_breedtes[#All],2,FALSE),"rood",IF(X$1&lt;VLOOKUP($A41,kritische_breedtes[#All],3,FALSE),"geel","groen"))</f>
        <v>rood</v>
      </c>
      <c r="Y41" t="str">
        <f>IF(Y$1&lt;VLOOKUP($A41,kritische_breedtes[#All],2,FALSE),"rood",IF(Y$1&lt;VLOOKUP($A41,kritische_breedtes[#All],3,FALSE),"geel","groen"))</f>
        <v>rood</v>
      </c>
      <c r="Z41" t="str">
        <f>IF(Z$1&lt;VLOOKUP($A41,kritische_breedtes[#All],2,FALSE),"rood",IF(Z$1&lt;VLOOKUP($A41,kritische_breedtes[#All],3,FALSE),"geel","groen"))</f>
        <v>rood</v>
      </c>
      <c r="AA41" t="str">
        <f>IF(AA$1&lt;VLOOKUP($A41,kritische_breedtes[#All],2,FALSE),"rood",IF(AA$1&lt;VLOOKUP($A41,kritische_breedtes[#All],3,FALSE),"geel","groen"))</f>
        <v>rood</v>
      </c>
      <c r="AB41" t="str">
        <f>IF(AB$1&lt;VLOOKUP($A41,kritische_breedtes[#All],2,FALSE),"rood",IF(AB$1&lt;VLOOKUP($A41,kritische_breedtes[#All],3,FALSE),"geel","groen"))</f>
        <v>geel</v>
      </c>
      <c r="AC41" t="str">
        <f>IF(AC$1&lt;VLOOKUP($A41,kritische_breedtes[#All],2,FALSE),"rood",IF(AC$1&lt;VLOOKUP($A41,kritische_breedtes[#All],3,FALSE),"geel","groen"))</f>
        <v>geel</v>
      </c>
      <c r="AD41" t="str">
        <f>IF(AD$1&lt;VLOOKUP($A41,kritische_breedtes[#All],2,FALSE),"rood",IF(AD$1&lt;VLOOKUP($A41,kritische_breedtes[#All],3,FALSE),"geel","groen"))</f>
        <v>groen</v>
      </c>
    </row>
    <row r="43" spans="1:30">
      <c r="A43" t="s">
        <v>188</v>
      </c>
      <c r="C43" cm="1">
        <f t="array" ref="C43">SUM(SUMIFS($B$4:$B$41,C$4:C$41,{"rood";"geel"}))</f>
        <v>512.79786286181138</v>
      </c>
      <c r="D43">
        <f>SUM(SUMIFS($B$4:$B$41,D$4:D$41,{"rood";"geel"}))</f>
        <v>512.79786286181138</v>
      </c>
      <c r="E43">
        <f>SUM(SUMIFS($B$4:$B$41,E$4:E$41,{"rood";"geel"}))</f>
        <v>95.702432773576078</v>
      </c>
      <c r="F43">
        <f>SUM(SUMIFS($B$4:$B$41,F$4:F$41,{"rood";"geel"}))</f>
        <v>95.702432773576078</v>
      </c>
      <c r="G43">
        <f>SUM(SUMIFS($B$4:$B$41,G$4:G$41,{"rood";"geel"}))</f>
        <v>87.190281139122305</v>
      </c>
      <c r="H43">
        <f>SUM(SUMIFS($B$4:$B$41,H$4:H$41,{"rood";"geel"}))</f>
        <v>40.846344462651714</v>
      </c>
      <c r="I43">
        <f>SUM(SUMIFS($B$4:$B$41,I$4:I$41,{"rood";"geel"}))</f>
        <v>40.846344462651714</v>
      </c>
      <c r="J43">
        <f>SUM(SUMIFS($B$4:$B$41,J$4:J$41,{"rood";"geel"}))</f>
        <v>40.846344462651707</v>
      </c>
      <c r="K43">
        <f>SUM(SUMIFS($B$4:$B$41,K$4:K$41,{"rood";"geel"}))</f>
        <v>25.448543376307182</v>
      </c>
      <c r="L43">
        <f>SUM(SUMIFS($B$4:$B$41,L$4:L$41,{"rood";"geel"}))</f>
        <v>25.448543376307185</v>
      </c>
      <c r="M43">
        <f>SUM(SUMIFS($B$4:$B$41,M$4:M$41,{"rood";"geel"}))</f>
        <v>9.711914119542481</v>
      </c>
      <c r="N43">
        <f>SUM(SUMIFS($B$4:$B$41,N$4:N$41,{"rood";"geel"}))</f>
        <v>9.711914119542481</v>
      </c>
      <c r="O43">
        <f>SUM(SUMIFS($B$4:$B$41,O$4:O$41,{"rood";"geel"}))</f>
        <v>6.2054182210130699</v>
      </c>
      <c r="P43">
        <f>SUM(SUMIFS($B$4:$B$41,P$4:P$41,{"rood";"geel"}))</f>
        <v>6.2054182210130708</v>
      </c>
      <c r="Q43">
        <f>SUM(SUMIFS($B$4:$B$41,Q$4:Q$41,{"rood";"geel"}))</f>
        <v>3.8145924609150312</v>
      </c>
      <c r="R43">
        <f>SUM(SUMIFS($B$4:$B$41,R$4:R$41,{"rood";"geel"}))</f>
        <v>3.8145924609150308</v>
      </c>
      <c r="S43">
        <f>SUM(SUMIFS($B$4:$B$41,S$4:S$41,{"rood";"geel"}))</f>
        <v>3.5706306486601296</v>
      </c>
      <c r="T43">
        <f>SUM(SUMIFS($B$4:$B$41,T$4:T$41,{"rood";"geel"}))</f>
        <v>3.5706306486601291</v>
      </c>
      <c r="U43">
        <f>SUM(SUMIFS($B$4:$B$41,U$4:U$41,{"rood";"geel"}))</f>
        <v>3.4927085175816979</v>
      </c>
      <c r="V43">
        <f>SUM(SUMIFS($B$4:$B$41,V$4:V$41,{"rood";"geel"}))</f>
        <v>0.77904584866993432</v>
      </c>
      <c r="W43">
        <f>SUM(SUMIFS($B$4:$B$41,W$4:W$41,{"rood";"geel"}))</f>
        <v>0.77540462759150297</v>
      </c>
      <c r="X43">
        <f>SUM(SUMIFS($B$4:$B$41,X$4:X$41,{"rood";"geel"}))</f>
        <v>0.77467638337581679</v>
      </c>
      <c r="Y43">
        <f>SUM(SUMIFS($B$4:$B$41,Y$4:Y$41,{"rood";"geel"}))</f>
        <v>6.0878493140522856E-2</v>
      </c>
      <c r="Z43">
        <f>SUM(SUMIFS($B$4:$B$41,Z$4:Z$41,{"rood";"geel"}))</f>
        <v>6.0878493140522856E-2</v>
      </c>
      <c r="AA43">
        <f>SUM(SUMIFS($B$4:$B$41,AA$4:AA$41,{"rood";"geel"}))</f>
        <v>1.6325426764705882E-3</v>
      </c>
      <c r="AB43">
        <f>SUM(SUMIFS($B$4:$B$41,AB$4:AB$41,{"rood";"geel"}))</f>
        <v>1.6325426764705882E-3</v>
      </c>
      <c r="AC43">
        <f>SUM(SUMIFS($B$4:$B$41,AC$4:AC$41,{"rood";"geel"}))</f>
        <v>1.3953356209150325E-5</v>
      </c>
      <c r="AD43">
        <f>SUM(SUMIFS($B$4:$B$41,AD$4:AD$41,{"rood";"geel"}))</f>
        <v>0</v>
      </c>
    </row>
    <row r="44" spans="1:30">
      <c r="A44" t="s">
        <v>189</v>
      </c>
      <c r="C44">
        <f t="shared" ref="C44:AD44" si="1">C43/i_fiets_var1</f>
        <v>5.1279786286181137</v>
      </c>
      <c r="D44">
        <f t="shared" si="1"/>
        <v>5.1279786286181137</v>
      </c>
      <c r="E44">
        <f t="shared" si="1"/>
        <v>0.95702432773576074</v>
      </c>
      <c r="F44">
        <f t="shared" si="1"/>
        <v>0.95702432773576074</v>
      </c>
      <c r="G44">
        <f t="shared" si="1"/>
        <v>0.87190281139122305</v>
      </c>
      <c r="H44">
        <f t="shared" si="1"/>
        <v>0.40846344462651712</v>
      </c>
      <c r="I44">
        <f t="shared" si="1"/>
        <v>0.40846344462651712</v>
      </c>
      <c r="J44">
        <f t="shared" si="1"/>
        <v>0.40846344462651707</v>
      </c>
      <c r="K44">
        <f t="shared" si="1"/>
        <v>0.25448543376307181</v>
      </c>
      <c r="L44">
        <f t="shared" si="1"/>
        <v>0.25448543376307187</v>
      </c>
      <c r="M44">
        <f t="shared" si="1"/>
        <v>9.7119141195424807E-2</v>
      </c>
      <c r="N44">
        <f t="shared" si="1"/>
        <v>9.7119141195424807E-2</v>
      </c>
      <c r="O44">
        <f t="shared" si="1"/>
        <v>6.2054182210130697E-2</v>
      </c>
      <c r="P44">
        <f t="shared" si="1"/>
        <v>6.2054182210130711E-2</v>
      </c>
      <c r="Q44">
        <f t="shared" si="1"/>
        <v>3.8145924609150311E-2</v>
      </c>
      <c r="R44">
        <f t="shared" si="1"/>
        <v>3.8145924609150311E-2</v>
      </c>
      <c r="S44">
        <f t="shared" si="1"/>
        <v>3.5706306486601294E-2</v>
      </c>
      <c r="T44">
        <f t="shared" si="1"/>
        <v>3.5706306486601294E-2</v>
      </c>
      <c r="U44">
        <f t="shared" si="1"/>
        <v>3.4927085175816976E-2</v>
      </c>
      <c r="V44">
        <f t="shared" si="1"/>
        <v>7.7904584866993433E-3</v>
      </c>
      <c r="W44">
        <f t="shared" si="1"/>
        <v>7.7540462759150301E-3</v>
      </c>
      <c r="X44">
        <f t="shared" si="1"/>
        <v>7.7467638337581678E-3</v>
      </c>
      <c r="Y44">
        <f t="shared" si="1"/>
        <v>6.0878493140522857E-4</v>
      </c>
      <c r="Z44">
        <f t="shared" si="1"/>
        <v>6.0878493140522857E-4</v>
      </c>
      <c r="AA44">
        <f t="shared" si="1"/>
        <v>1.6325426764705881E-5</v>
      </c>
      <c r="AB44">
        <f t="shared" si="1"/>
        <v>1.6325426764705881E-5</v>
      </c>
      <c r="AC44">
        <f t="shared" si="1"/>
        <v>1.3953356209150326E-7</v>
      </c>
      <c r="AD44">
        <f t="shared" si="1"/>
        <v>0</v>
      </c>
    </row>
    <row r="46" spans="1:30">
      <c r="A46" t="s">
        <v>190</v>
      </c>
      <c r="B46">
        <v>7.3929999999999998</v>
      </c>
      <c r="C46">
        <f>$B46</f>
        <v>7.3929999999999998</v>
      </c>
      <c r="D46">
        <f t="shared" ref="D46:AD46" si="2">$B46</f>
        <v>7.3929999999999998</v>
      </c>
      <c r="E46">
        <f t="shared" si="2"/>
        <v>7.3929999999999998</v>
      </c>
      <c r="F46">
        <f t="shared" si="2"/>
        <v>7.3929999999999998</v>
      </c>
      <c r="G46">
        <f t="shared" si="2"/>
        <v>7.3929999999999998</v>
      </c>
      <c r="H46">
        <f t="shared" si="2"/>
        <v>7.3929999999999998</v>
      </c>
      <c r="I46">
        <f t="shared" si="2"/>
        <v>7.3929999999999998</v>
      </c>
      <c r="J46">
        <f t="shared" si="2"/>
        <v>7.3929999999999998</v>
      </c>
      <c r="K46">
        <f t="shared" si="2"/>
        <v>7.3929999999999998</v>
      </c>
      <c r="L46">
        <f t="shared" si="2"/>
        <v>7.3929999999999998</v>
      </c>
      <c r="M46">
        <f t="shared" si="2"/>
        <v>7.3929999999999998</v>
      </c>
      <c r="N46">
        <f t="shared" si="2"/>
        <v>7.3929999999999998</v>
      </c>
      <c r="O46">
        <f t="shared" si="2"/>
        <v>7.3929999999999998</v>
      </c>
      <c r="P46">
        <f t="shared" si="2"/>
        <v>7.3929999999999998</v>
      </c>
      <c r="Q46">
        <f t="shared" si="2"/>
        <v>7.3929999999999998</v>
      </c>
      <c r="R46">
        <f t="shared" si="2"/>
        <v>7.3929999999999998</v>
      </c>
      <c r="S46">
        <f t="shared" si="2"/>
        <v>7.3929999999999998</v>
      </c>
      <c r="T46">
        <f t="shared" si="2"/>
        <v>7.3929999999999998</v>
      </c>
      <c r="U46">
        <f t="shared" si="2"/>
        <v>7.3929999999999998</v>
      </c>
      <c r="V46">
        <f t="shared" si="2"/>
        <v>7.3929999999999998</v>
      </c>
      <c r="W46">
        <f t="shared" si="2"/>
        <v>7.3929999999999998</v>
      </c>
      <c r="X46">
        <f t="shared" si="2"/>
        <v>7.3929999999999998</v>
      </c>
      <c r="Y46">
        <f t="shared" si="2"/>
        <v>7.3929999999999998</v>
      </c>
      <c r="Z46">
        <f t="shared" si="2"/>
        <v>7.3929999999999998</v>
      </c>
      <c r="AA46">
        <f t="shared" si="2"/>
        <v>7.3929999999999998</v>
      </c>
      <c r="AB46">
        <f t="shared" si="2"/>
        <v>7.3929999999999998</v>
      </c>
      <c r="AC46">
        <f t="shared" si="2"/>
        <v>7.3929999999999998</v>
      </c>
      <c r="AD46">
        <f t="shared" si="2"/>
        <v>7.3929999999999998</v>
      </c>
    </row>
    <row r="47" spans="1:30">
      <c r="A47" t="s">
        <v>191</v>
      </c>
      <c r="B47">
        <v>-0.19500000000000001</v>
      </c>
      <c r="C47">
        <f t="shared" ref="C47:AD47" si="3">$B47*C44</f>
        <v>-0.99995583258053222</v>
      </c>
      <c r="D47">
        <f t="shared" si="3"/>
        <v>-0.99995583258053222</v>
      </c>
      <c r="E47">
        <f t="shared" si="3"/>
        <v>-0.18661974390847336</v>
      </c>
      <c r="F47">
        <f t="shared" si="3"/>
        <v>-0.18661974390847336</v>
      </c>
      <c r="G47">
        <f t="shared" si="3"/>
        <v>-0.1700210482212885</v>
      </c>
      <c r="H47">
        <f t="shared" si="3"/>
        <v>-7.9650371702170847E-2</v>
      </c>
      <c r="I47">
        <f t="shared" si="3"/>
        <v>-7.9650371702170847E-2</v>
      </c>
      <c r="J47">
        <f t="shared" si="3"/>
        <v>-7.9650371702170833E-2</v>
      </c>
      <c r="K47">
        <f t="shared" si="3"/>
        <v>-4.9624659583799004E-2</v>
      </c>
      <c r="L47">
        <f t="shared" si="3"/>
        <v>-4.9624659583799018E-2</v>
      </c>
      <c r="M47">
        <f t="shared" si="3"/>
        <v>-1.8938232533107838E-2</v>
      </c>
      <c r="N47">
        <f t="shared" si="3"/>
        <v>-1.8938232533107838E-2</v>
      </c>
      <c r="O47">
        <f t="shared" si="3"/>
        <v>-1.2100565530975486E-2</v>
      </c>
      <c r="P47">
        <f t="shared" si="3"/>
        <v>-1.2100565530975488E-2</v>
      </c>
      <c r="Q47">
        <f t="shared" si="3"/>
        <v>-7.4384552987843107E-3</v>
      </c>
      <c r="R47">
        <f t="shared" si="3"/>
        <v>-7.4384552987843107E-3</v>
      </c>
      <c r="S47">
        <f t="shared" si="3"/>
        <v>-6.9627297648872525E-3</v>
      </c>
      <c r="T47">
        <f t="shared" si="3"/>
        <v>-6.9627297648872525E-3</v>
      </c>
      <c r="U47">
        <f t="shared" si="3"/>
        <v>-6.8107816092843106E-3</v>
      </c>
      <c r="V47">
        <f t="shared" si="3"/>
        <v>-1.519139404906372E-3</v>
      </c>
      <c r="W47">
        <f t="shared" si="3"/>
        <v>-1.512039023803431E-3</v>
      </c>
      <c r="X47">
        <f t="shared" si="3"/>
        <v>-1.5106189475828427E-3</v>
      </c>
      <c r="Y47">
        <f t="shared" si="3"/>
        <v>-1.1871306162401958E-4</v>
      </c>
      <c r="Z47">
        <f t="shared" si="3"/>
        <v>-1.1871306162401958E-4</v>
      </c>
      <c r="AA47">
        <f t="shared" si="3"/>
        <v>-3.1834582191176468E-6</v>
      </c>
      <c r="AB47">
        <f t="shared" si="3"/>
        <v>-3.1834582191176468E-6</v>
      </c>
      <c r="AC47">
        <f t="shared" si="3"/>
        <v>-2.7209044607843138E-8</v>
      </c>
      <c r="AD47">
        <f t="shared" si="3"/>
        <v>0</v>
      </c>
    </row>
    <row r="48" spans="1:30">
      <c r="A48" t="s">
        <v>192</v>
      </c>
      <c r="B48">
        <v>2E-3</v>
      </c>
      <c r="C48">
        <f t="shared" ref="C48:AD48" si="4">$B48*(i_fiets_var1-250)</f>
        <v>-0.3</v>
      </c>
      <c r="D48">
        <f t="shared" si="4"/>
        <v>-0.3</v>
      </c>
      <c r="E48">
        <f t="shared" si="4"/>
        <v>-0.3</v>
      </c>
      <c r="F48">
        <f t="shared" si="4"/>
        <v>-0.3</v>
      </c>
      <c r="G48">
        <f t="shared" si="4"/>
        <v>-0.3</v>
      </c>
      <c r="H48">
        <f t="shared" si="4"/>
        <v>-0.3</v>
      </c>
      <c r="I48">
        <f t="shared" si="4"/>
        <v>-0.3</v>
      </c>
      <c r="J48">
        <f t="shared" si="4"/>
        <v>-0.3</v>
      </c>
      <c r="K48">
        <f t="shared" si="4"/>
        <v>-0.3</v>
      </c>
      <c r="L48">
        <f t="shared" si="4"/>
        <v>-0.3</v>
      </c>
      <c r="M48">
        <f t="shared" si="4"/>
        <v>-0.3</v>
      </c>
      <c r="N48">
        <f t="shared" si="4"/>
        <v>-0.3</v>
      </c>
      <c r="O48">
        <f t="shared" si="4"/>
        <v>-0.3</v>
      </c>
      <c r="P48">
        <f t="shared" si="4"/>
        <v>-0.3</v>
      </c>
      <c r="Q48">
        <f t="shared" si="4"/>
        <v>-0.3</v>
      </c>
      <c r="R48">
        <f t="shared" si="4"/>
        <v>-0.3</v>
      </c>
      <c r="S48">
        <f t="shared" si="4"/>
        <v>-0.3</v>
      </c>
      <c r="T48">
        <f t="shared" si="4"/>
        <v>-0.3</v>
      </c>
      <c r="U48">
        <f t="shared" si="4"/>
        <v>-0.3</v>
      </c>
      <c r="V48">
        <f t="shared" si="4"/>
        <v>-0.3</v>
      </c>
      <c r="W48">
        <f t="shared" si="4"/>
        <v>-0.3</v>
      </c>
      <c r="X48">
        <f t="shared" si="4"/>
        <v>-0.3</v>
      </c>
      <c r="Y48">
        <f t="shared" si="4"/>
        <v>-0.3</v>
      </c>
      <c r="Z48">
        <f t="shared" si="4"/>
        <v>-0.3</v>
      </c>
      <c r="AA48">
        <f t="shared" si="4"/>
        <v>-0.3</v>
      </c>
      <c r="AB48">
        <f t="shared" si="4"/>
        <v>-0.3</v>
      </c>
      <c r="AC48">
        <f t="shared" si="4"/>
        <v>-0.3</v>
      </c>
      <c r="AD48">
        <f t="shared" si="4"/>
        <v>-0.3</v>
      </c>
    </row>
    <row r="49" spans="1:30">
      <c r="A49" t="s">
        <v>193</v>
      </c>
      <c r="C49">
        <f>MAX(C47:C48)</f>
        <v>-0.3</v>
      </c>
      <c r="D49">
        <f t="shared" ref="D49:AD49" si="5">MAX(D47:D48)</f>
        <v>-0.3</v>
      </c>
      <c r="E49">
        <f t="shared" si="5"/>
        <v>-0.18661974390847336</v>
      </c>
      <c r="F49">
        <f t="shared" si="5"/>
        <v>-0.18661974390847336</v>
      </c>
      <c r="G49">
        <f t="shared" si="5"/>
        <v>-0.1700210482212885</v>
      </c>
      <c r="H49">
        <f t="shared" si="5"/>
        <v>-7.9650371702170847E-2</v>
      </c>
      <c r="I49">
        <f t="shared" si="5"/>
        <v>-7.9650371702170847E-2</v>
      </c>
      <c r="J49">
        <f t="shared" si="5"/>
        <v>-7.9650371702170833E-2</v>
      </c>
      <c r="K49">
        <f t="shared" si="5"/>
        <v>-4.9624659583799004E-2</v>
      </c>
      <c r="L49">
        <f t="shared" si="5"/>
        <v>-4.9624659583799018E-2</v>
      </c>
      <c r="M49">
        <f t="shared" si="5"/>
        <v>-1.8938232533107838E-2</v>
      </c>
      <c r="N49">
        <f t="shared" si="5"/>
        <v>-1.8938232533107838E-2</v>
      </c>
      <c r="O49">
        <f t="shared" si="5"/>
        <v>-1.2100565530975486E-2</v>
      </c>
      <c r="P49">
        <f t="shared" si="5"/>
        <v>-1.2100565530975488E-2</v>
      </c>
      <c r="Q49">
        <f t="shared" si="5"/>
        <v>-7.4384552987843107E-3</v>
      </c>
      <c r="R49">
        <f t="shared" si="5"/>
        <v>-7.4384552987843107E-3</v>
      </c>
      <c r="S49">
        <f t="shared" si="5"/>
        <v>-6.9627297648872525E-3</v>
      </c>
      <c r="T49">
        <f t="shared" si="5"/>
        <v>-6.9627297648872525E-3</v>
      </c>
      <c r="U49">
        <f t="shared" si="5"/>
        <v>-6.8107816092843106E-3</v>
      </c>
      <c r="V49">
        <f t="shared" si="5"/>
        <v>-1.519139404906372E-3</v>
      </c>
      <c r="W49">
        <f t="shared" si="5"/>
        <v>-1.512039023803431E-3</v>
      </c>
      <c r="X49">
        <f t="shared" si="5"/>
        <v>-1.5106189475828427E-3</v>
      </c>
      <c r="Y49">
        <f t="shared" si="5"/>
        <v>-1.1871306162401958E-4</v>
      </c>
      <c r="Z49">
        <f t="shared" si="5"/>
        <v>-1.1871306162401958E-4</v>
      </c>
      <c r="AA49">
        <f t="shared" si="5"/>
        <v>-3.1834582191176468E-6</v>
      </c>
      <c r="AB49">
        <f t="shared" si="5"/>
        <v>-3.1834582191176468E-6</v>
      </c>
      <c r="AC49">
        <f t="shared" si="5"/>
        <v>-2.7209044607843138E-8</v>
      </c>
      <c r="AD49">
        <f t="shared" si="5"/>
        <v>0</v>
      </c>
    </row>
    <row r="50" spans="1:30">
      <c r="A50" t="s">
        <v>194</v>
      </c>
      <c r="C50">
        <f>MIN(0.5,C49)</f>
        <v>-0.3</v>
      </c>
      <c r="D50">
        <f t="shared" ref="D50:AD50" si="6">MIN(0.5,D49)</f>
        <v>-0.3</v>
      </c>
      <c r="E50">
        <f t="shared" si="6"/>
        <v>-0.18661974390847336</v>
      </c>
      <c r="F50">
        <f t="shared" si="6"/>
        <v>-0.18661974390847336</v>
      </c>
      <c r="G50">
        <f t="shared" si="6"/>
        <v>-0.1700210482212885</v>
      </c>
      <c r="H50">
        <f t="shared" si="6"/>
        <v>-7.9650371702170847E-2</v>
      </c>
      <c r="I50">
        <f t="shared" si="6"/>
        <v>-7.9650371702170847E-2</v>
      </c>
      <c r="J50">
        <f t="shared" si="6"/>
        <v>-7.9650371702170833E-2</v>
      </c>
      <c r="K50">
        <f t="shared" si="6"/>
        <v>-4.9624659583799004E-2</v>
      </c>
      <c r="L50">
        <f t="shared" si="6"/>
        <v>-4.9624659583799018E-2</v>
      </c>
      <c r="M50">
        <f t="shared" si="6"/>
        <v>-1.8938232533107838E-2</v>
      </c>
      <c r="N50">
        <f t="shared" si="6"/>
        <v>-1.8938232533107838E-2</v>
      </c>
      <c r="O50">
        <f t="shared" si="6"/>
        <v>-1.2100565530975486E-2</v>
      </c>
      <c r="P50">
        <f t="shared" si="6"/>
        <v>-1.2100565530975488E-2</v>
      </c>
      <c r="Q50">
        <f t="shared" si="6"/>
        <v>-7.4384552987843107E-3</v>
      </c>
      <c r="R50">
        <f t="shared" si="6"/>
        <v>-7.4384552987843107E-3</v>
      </c>
      <c r="S50">
        <f t="shared" si="6"/>
        <v>-6.9627297648872525E-3</v>
      </c>
      <c r="T50">
        <f t="shared" si="6"/>
        <v>-6.9627297648872525E-3</v>
      </c>
      <c r="U50">
        <f t="shared" si="6"/>
        <v>-6.8107816092843106E-3</v>
      </c>
      <c r="V50">
        <f t="shared" si="6"/>
        <v>-1.519139404906372E-3</v>
      </c>
      <c r="W50">
        <f t="shared" si="6"/>
        <v>-1.512039023803431E-3</v>
      </c>
      <c r="X50">
        <f t="shared" si="6"/>
        <v>-1.5106189475828427E-3</v>
      </c>
      <c r="Y50">
        <f t="shared" si="6"/>
        <v>-1.1871306162401958E-4</v>
      </c>
      <c r="Z50">
        <f t="shared" si="6"/>
        <v>-1.1871306162401958E-4</v>
      </c>
      <c r="AA50">
        <f t="shared" si="6"/>
        <v>-3.1834582191176468E-6</v>
      </c>
      <c r="AB50">
        <f t="shared" si="6"/>
        <v>-3.1834582191176468E-6</v>
      </c>
      <c r="AC50">
        <f t="shared" si="6"/>
        <v>-2.7209044607843138E-8</v>
      </c>
      <c r="AD50">
        <f t="shared" si="6"/>
        <v>0</v>
      </c>
    </row>
    <row r="52" spans="1:30">
      <c r="A52" t="s">
        <v>195</v>
      </c>
      <c r="C52">
        <f>SUM(C46,C47,C50)</f>
        <v>6.0930441674194675</v>
      </c>
      <c r="D52">
        <f t="shared" ref="D52:AD52" si="7">SUM(D46,D47,D50)</f>
        <v>6.0930441674194675</v>
      </c>
      <c r="E52">
        <f t="shared" si="7"/>
        <v>7.0197605121830531</v>
      </c>
      <c r="F52">
        <f t="shared" si="7"/>
        <v>7.0197605121830531</v>
      </c>
      <c r="G52">
        <f t="shared" si="7"/>
        <v>7.0529579035574228</v>
      </c>
      <c r="H52">
        <f t="shared" si="7"/>
        <v>7.2336992565956573</v>
      </c>
      <c r="I52">
        <f t="shared" si="7"/>
        <v>7.2336992565956573</v>
      </c>
      <c r="J52">
        <f t="shared" si="7"/>
        <v>7.2336992565956573</v>
      </c>
      <c r="K52">
        <f t="shared" si="7"/>
        <v>7.2937506808324022</v>
      </c>
      <c r="L52">
        <f t="shared" si="7"/>
        <v>7.2937506808324022</v>
      </c>
      <c r="M52">
        <f t="shared" si="7"/>
        <v>7.3551235349337842</v>
      </c>
      <c r="N52">
        <f t="shared" si="7"/>
        <v>7.3551235349337842</v>
      </c>
      <c r="O52">
        <f t="shared" si="7"/>
        <v>7.3687988689380495</v>
      </c>
      <c r="P52">
        <f t="shared" si="7"/>
        <v>7.3687988689380495</v>
      </c>
      <c r="Q52">
        <f t="shared" si="7"/>
        <v>7.3781230894024317</v>
      </c>
      <c r="R52">
        <f t="shared" si="7"/>
        <v>7.3781230894024317</v>
      </c>
      <c r="S52">
        <f t="shared" si="7"/>
        <v>7.3790745404702252</v>
      </c>
      <c r="T52">
        <f t="shared" si="7"/>
        <v>7.3790745404702252</v>
      </c>
      <c r="U52">
        <f t="shared" si="7"/>
        <v>7.3793784367814306</v>
      </c>
      <c r="V52">
        <f t="shared" si="7"/>
        <v>7.3899617211901871</v>
      </c>
      <c r="W52">
        <f t="shared" si="7"/>
        <v>7.3899759219523924</v>
      </c>
      <c r="X52">
        <f t="shared" si="7"/>
        <v>7.3899787621048345</v>
      </c>
      <c r="Y52">
        <f t="shared" si="7"/>
        <v>7.3927625738767526</v>
      </c>
      <c r="Z52">
        <f t="shared" si="7"/>
        <v>7.3927625738767526</v>
      </c>
      <c r="AA52">
        <f t="shared" si="7"/>
        <v>7.3929936330835622</v>
      </c>
      <c r="AB52">
        <f t="shared" si="7"/>
        <v>7.3929936330835622</v>
      </c>
      <c r="AC52">
        <f t="shared" si="7"/>
        <v>7.3929999455819102</v>
      </c>
      <c r="AD52">
        <f t="shared" si="7"/>
        <v>7.3929999999999998</v>
      </c>
    </row>
    <row r="54" spans="1:30">
      <c r="C54">
        <f>MIN(C2,'berekeningen variant 2'!C2)-50</f>
        <v>250</v>
      </c>
      <c r="D54">
        <f>MAX(AD2,'berekeningen variant 2'!AD2)+50</f>
        <v>1140</v>
      </c>
    </row>
    <row r="55" spans="1:30">
      <c r="C55">
        <v>7</v>
      </c>
      <c r="D55">
        <v>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F133B-2C49-4EE4-BD67-789139793274}">
  <sheetPr codeName="Blad7"/>
  <dimension ref="A1:AL52"/>
  <sheetViews>
    <sheetView workbookViewId="0">
      <selection activeCell="C2" sqref="C2:AD2"/>
    </sheetView>
  </sheetViews>
  <sheetFormatPr defaultRowHeight="12.5"/>
  <cols>
    <col min="1" max="1" width="38.54296875" bestFit="1" customWidth="1"/>
    <col min="3" max="32" width="9.1796875" customWidth="1"/>
    <col min="35" max="35" width="17.81640625" bestFit="1" customWidth="1"/>
    <col min="36" max="37" width="14.54296875" bestFit="1" customWidth="1"/>
    <col min="38" max="38" width="20.7265625" bestFit="1" customWidth="1"/>
  </cols>
  <sheetData>
    <row r="1" spans="1:38">
      <c r="A1" t="s">
        <v>180</v>
      </c>
      <c r="C1">
        <v>300</v>
      </c>
      <c r="D1">
        <v>380</v>
      </c>
      <c r="E1">
        <v>390</v>
      </c>
      <c r="F1">
        <v>459.99999999999994</v>
      </c>
      <c r="G1">
        <v>470</v>
      </c>
      <c r="H1">
        <v>480</v>
      </c>
      <c r="I1">
        <v>509.99999999999994</v>
      </c>
      <c r="J1">
        <v>550</v>
      </c>
      <c r="K1">
        <v>560</v>
      </c>
      <c r="L1">
        <v>590</v>
      </c>
      <c r="M1">
        <v>600</v>
      </c>
      <c r="N1">
        <v>630</v>
      </c>
      <c r="O1">
        <v>640</v>
      </c>
      <c r="P1">
        <v>669.99999999999989</v>
      </c>
      <c r="Q1">
        <v>680</v>
      </c>
      <c r="R1">
        <v>710</v>
      </c>
      <c r="S1">
        <v>720</v>
      </c>
      <c r="T1">
        <v>749.99999999999989</v>
      </c>
      <c r="U1">
        <v>760</v>
      </c>
      <c r="V1">
        <v>770</v>
      </c>
      <c r="W1">
        <v>800</v>
      </c>
      <c r="X1">
        <v>840</v>
      </c>
      <c r="Y1">
        <v>850</v>
      </c>
      <c r="Z1">
        <v>920.00000000000011</v>
      </c>
      <c r="AA1">
        <v>930</v>
      </c>
      <c r="AB1">
        <v>1000.0000000000002</v>
      </c>
      <c r="AC1">
        <v>1010</v>
      </c>
      <c r="AD1">
        <v>1090</v>
      </c>
      <c r="AJ1" t="s">
        <v>75</v>
      </c>
      <c r="AK1" t="s">
        <v>76</v>
      </c>
      <c r="AL1" t="s">
        <v>181</v>
      </c>
    </row>
    <row r="2" spans="1:38">
      <c r="A2" t="s">
        <v>182</v>
      </c>
      <c r="C2">
        <f t="shared" ref="C2:AD2" si="0">C1+2*tab2_rabatstrook_var2/2</f>
        <v>300</v>
      </c>
      <c r="D2">
        <f t="shared" si="0"/>
        <v>380</v>
      </c>
      <c r="E2">
        <f t="shared" si="0"/>
        <v>390</v>
      </c>
      <c r="F2">
        <f t="shared" si="0"/>
        <v>459.99999999999994</v>
      </c>
      <c r="G2">
        <f t="shared" si="0"/>
        <v>470</v>
      </c>
      <c r="H2">
        <f t="shared" si="0"/>
        <v>480</v>
      </c>
      <c r="I2">
        <f t="shared" si="0"/>
        <v>509.99999999999994</v>
      </c>
      <c r="J2">
        <f t="shared" si="0"/>
        <v>550</v>
      </c>
      <c r="K2">
        <f t="shared" si="0"/>
        <v>560</v>
      </c>
      <c r="L2">
        <f t="shared" si="0"/>
        <v>590</v>
      </c>
      <c r="M2">
        <f t="shared" si="0"/>
        <v>600</v>
      </c>
      <c r="N2">
        <f t="shared" si="0"/>
        <v>630</v>
      </c>
      <c r="O2">
        <f t="shared" si="0"/>
        <v>640</v>
      </c>
      <c r="P2">
        <f t="shared" si="0"/>
        <v>669.99999999999989</v>
      </c>
      <c r="Q2">
        <f t="shared" si="0"/>
        <v>680</v>
      </c>
      <c r="R2">
        <f t="shared" si="0"/>
        <v>710</v>
      </c>
      <c r="S2">
        <f t="shared" si="0"/>
        <v>720</v>
      </c>
      <c r="T2">
        <f t="shared" si="0"/>
        <v>749.99999999999989</v>
      </c>
      <c r="U2">
        <f t="shared" si="0"/>
        <v>760</v>
      </c>
      <c r="V2">
        <f t="shared" si="0"/>
        <v>770</v>
      </c>
      <c r="W2">
        <f t="shared" si="0"/>
        <v>800</v>
      </c>
      <c r="X2">
        <f t="shared" si="0"/>
        <v>840</v>
      </c>
      <c r="Y2">
        <f t="shared" si="0"/>
        <v>850</v>
      </c>
      <c r="Z2">
        <f t="shared" si="0"/>
        <v>920.00000000000011</v>
      </c>
      <c r="AA2">
        <f t="shared" si="0"/>
        <v>930</v>
      </c>
      <c r="AB2">
        <f t="shared" si="0"/>
        <v>1000.0000000000002</v>
      </c>
      <c r="AC2">
        <f t="shared" si="0"/>
        <v>1010</v>
      </c>
      <c r="AD2">
        <f t="shared" si="0"/>
        <v>1090</v>
      </c>
    </row>
    <row r="4" spans="1:38">
      <c r="A4" t="s">
        <v>183</v>
      </c>
      <c r="B4">
        <f>MAX(0,i_fiets_sec_ri1_var2*i_auto_sec_ri1_var2*(t_fiets_var2-t_auto_var2)*3600+i_fiets_sec_ri2_var2*i_auto_sec_ri2_var2*(t_fiets_var2-t_auto_var2)*periode-B16-B24-B32)</f>
        <v>156.32637208216624</v>
      </c>
      <c r="AI4" t="s">
        <v>20</v>
      </c>
      <c r="AJ4">
        <f>i_fiets_var2/3600*fiets_ri1_var2</f>
        <v>3.0555555555555558E-2</v>
      </c>
      <c r="AK4">
        <f>i_fiets_var2/3600*fiets_ri2_var2</f>
        <v>2.4999999999999994E-2</v>
      </c>
      <c r="AL4">
        <f>1000/(v_fiets_var2/3.6)</f>
        <v>200</v>
      </c>
    </row>
    <row r="5" spans="1:38">
      <c r="A5" t="s">
        <v>86</v>
      </c>
      <c r="B5">
        <f>B4*(1-duofietsers_var2)*(1-vrachtverkeer_var2)</f>
        <v>137.87986017647063</v>
      </c>
      <c r="C5" t="str">
        <f>IF(C$1&lt;VLOOKUP($A5,kritische_breedtes[#All],2,FALSE),"rood",IF(C$1&lt;VLOOKUP($A5,kritische_breedtes[#All],3,FALSE),"geel","groen"))</f>
        <v>geel</v>
      </c>
      <c r="D5" t="str">
        <f>IF(D$1&lt;VLOOKUP($A5,kritische_breedtes[#All],2,FALSE),"rood",IF(D$1&lt;VLOOKUP($A5,kritische_breedtes[#All],3,FALSE),"geel","groen"))</f>
        <v>geel</v>
      </c>
      <c r="E5" t="str">
        <f>IF(E$1&lt;VLOOKUP($A5,kritische_breedtes[#All],2,FALSE),"rood",IF(E$1&lt;VLOOKUP($A5,kritische_breedtes[#All],3,FALSE),"geel","groen"))</f>
        <v>groen</v>
      </c>
      <c r="F5" t="str">
        <f>IF(F$1&lt;VLOOKUP($A5,kritische_breedtes[#All],2,FALSE),"rood",IF(F$1&lt;VLOOKUP($A5,kritische_breedtes[#All],3,FALSE),"geel","groen"))</f>
        <v>groen</v>
      </c>
      <c r="G5" t="str">
        <f>IF(G$1&lt;VLOOKUP($A5,kritische_breedtes[#All],2,FALSE),"rood",IF(G$1&lt;VLOOKUP($A5,kritische_breedtes[#All],3,FALSE),"geel","groen"))</f>
        <v>groen</v>
      </c>
      <c r="H5" t="str">
        <f>IF(H$1&lt;VLOOKUP($A5,kritische_breedtes[#All],2,FALSE),"rood",IF(H$1&lt;VLOOKUP($A5,kritische_breedtes[#All],3,FALSE),"geel","groen"))</f>
        <v>groen</v>
      </c>
      <c r="I5" t="str">
        <f>IF(I$1&lt;VLOOKUP($A5,kritische_breedtes[#All],2,FALSE),"rood",IF(I$1&lt;VLOOKUP($A5,kritische_breedtes[#All],3,FALSE),"geel","groen"))</f>
        <v>groen</v>
      </c>
      <c r="J5" t="str">
        <f>IF(J$1&lt;VLOOKUP($A5,kritische_breedtes[#All],2,FALSE),"rood",IF(J$1&lt;VLOOKUP($A5,kritische_breedtes[#All],3,FALSE),"geel","groen"))</f>
        <v>groen</v>
      </c>
      <c r="K5" t="str">
        <f>IF(K$1&lt;VLOOKUP($A5,kritische_breedtes[#All],2,FALSE),"rood",IF(K$1&lt;VLOOKUP($A5,kritische_breedtes[#All],3,FALSE),"geel","groen"))</f>
        <v>groen</v>
      </c>
      <c r="L5" t="str">
        <f>IF(L$1&lt;VLOOKUP($A5,kritische_breedtes[#All],2,FALSE),"rood",IF(L$1&lt;VLOOKUP($A5,kritische_breedtes[#All],3,FALSE),"geel","groen"))</f>
        <v>groen</v>
      </c>
      <c r="M5" t="str">
        <f>IF(M$1&lt;VLOOKUP($A5,kritische_breedtes[#All],2,FALSE),"rood",IF(M$1&lt;VLOOKUP($A5,kritische_breedtes[#All],3,FALSE),"geel","groen"))</f>
        <v>groen</v>
      </c>
      <c r="N5" t="str">
        <f>IF(N$1&lt;VLOOKUP($A5,kritische_breedtes[#All],2,FALSE),"rood",IF(N$1&lt;VLOOKUP($A5,kritische_breedtes[#All],3,FALSE),"geel","groen"))</f>
        <v>groen</v>
      </c>
      <c r="O5" t="str">
        <f>IF(O$1&lt;VLOOKUP($A5,kritische_breedtes[#All],2,FALSE),"rood",IF(O$1&lt;VLOOKUP($A5,kritische_breedtes[#All],3,FALSE),"geel","groen"))</f>
        <v>groen</v>
      </c>
      <c r="P5" t="str">
        <f>IF(P$1&lt;VLOOKUP($A5,kritische_breedtes[#All],2,FALSE),"rood",IF(P$1&lt;VLOOKUP($A5,kritische_breedtes[#All],3,FALSE),"geel","groen"))</f>
        <v>groen</v>
      </c>
      <c r="Q5" t="str">
        <f>IF(Q$1&lt;VLOOKUP($A5,kritische_breedtes[#All],2,FALSE),"rood",IF(Q$1&lt;VLOOKUP($A5,kritische_breedtes[#All],3,FALSE),"geel","groen"))</f>
        <v>groen</v>
      </c>
      <c r="R5" t="str">
        <f>IF(R$1&lt;VLOOKUP($A5,kritische_breedtes[#All],2,FALSE),"rood",IF(R$1&lt;VLOOKUP($A5,kritische_breedtes[#All],3,FALSE),"geel","groen"))</f>
        <v>groen</v>
      </c>
      <c r="S5" t="str">
        <f>IF(S$1&lt;VLOOKUP($A5,kritische_breedtes[#All],2,FALSE),"rood",IF(S$1&lt;VLOOKUP($A5,kritische_breedtes[#All],3,FALSE),"geel","groen"))</f>
        <v>groen</v>
      </c>
      <c r="T5" t="str">
        <f>IF(T$1&lt;VLOOKUP($A5,kritische_breedtes[#All],2,FALSE),"rood",IF(T$1&lt;VLOOKUP($A5,kritische_breedtes[#All],3,FALSE),"geel","groen"))</f>
        <v>groen</v>
      </c>
      <c r="U5" t="str">
        <f>IF(U$1&lt;VLOOKUP($A5,kritische_breedtes[#All],2,FALSE),"rood",IF(U$1&lt;VLOOKUP($A5,kritische_breedtes[#All],3,FALSE),"geel","groen"))</f>
        <v>groen</v>
      </c>
      <c r="V5" t="str">
        <f>IF(V$1&lt;VLOOKUP($A5,kritische_breedtes[#All],2,FALSE),"rood",IF(V$1&lt;VLOOKUP($A5,kritische_breedtes[#All],3,FALSE),"geel","groen"))</f>
        <v>groen</v>
      </c>
      <c r="W5" t="str">
        <f>IF(W$1&lt;VLOOKUP($A5,kritische_breedtes[#All],2,FALSE),"rood",IF(W$1&lt;VLOOKUP($A5,kritische_breedtes[#All],3,FALSE),"geel","groen"))</f>
        <v>groen</v>
      </c>
      <c r="X5" t="str">
        <f>IF(X$1&lt;VLOOKUP($A5,kritische_breedtes[#All],2,FALSE),"rood",IF(X$1&lt;VLOOKUP($A5,kritische_breedtes[#All],3,FALSE),"geel","groen"))</f>
        <v>groen</v>
      </c>
      <c r="Y5" t="str">
        <f>IF(Y$1&lt;VLOOKUP($A5,kritische_breedtes[#All],2,FALSE),"rood",IF(Y$1&lt;VLOOKUP($A5,kritische_breedtes[#All],3,FALSE),"geel","groen"))</f>
        <v>groen</v>
      </c>
      <c r="Z5" t="str">
        <f>IF(Z$1&lt;VLOOKUP($A5,kritische_breedtes[#All],2,FALSE),"rood",IF(Z$1&lt;VLOOKUP($A5,kritische_breedtes[#All],3,FALSE),"geel","groen"))</f>
        <v>groen</v>
      </c>
      <c r="AA5" t="str">
        <f>IF(AA$1&lt;VLOOKUP($A5,kritische_breedtes[#All],2,FALSE),"rood",IF(AA$1&lt;VLOOKUP($A5,kritische_breedtes[#All],3,FALSE),"geel","groen"))</f>
        <v>groen</v>
      </c>
      <c r="AB5" t="str">
        <f>IF(AB$1&lt;VLOOKUP($A5,kritische_breedtes[#All],2,FALSE),"rood",IF(AB$1&lt;VLOOKUP($A5,kritische_breedtes[#All],3,FALSE),"geel","groen"))</f>
        <v>groen</v>
      </c>
      <c r="AC5" t="str">
        <f>IF(AC$1&lt;VLOOKUP($A5,kritische_breedtes[#All],2,FALSE),"rood",IF(AC$1&lt;VLOOKUP($A5,kritische_breedtes[#All],3,FALSE),"geel","groen"))</f>
        <v>groen</v>
      </c>
      <c r="AD5" t="str">
        <f>IF(AD$1&lt;VLOOKUP($A5,kritische_breedtes[#All],2,FALSE),"rood",IF(AD$1&lt;VLOOKUP($A5,kritische_breedtes[#All],3,FALSE),"geel","groen"))</f>
        <v>groen</v>
      </c>
      <c r="AI5" t="s">
        <v>21</v>
      </c>
      <c r="AJ5">
        <f>i_auto_var2/3600*auto_ri1_var2</f>
        <v>1.5277777777777779E-2</v>
      </c>
      <c r="AK5">
        <f>i_auto_var2/3600*auto_ri2_var2</f>
        <v>1.2499999999999997E-2</v>
      </c>
      <c r="AL5">
        <f>1000/(v_auto_var2/3.6)</f>
        <v>102.85714285714286</v>
      </c>
    </row>
    <row r="6" spans="1:38">
      <c r="A6" t="s">
        <v>92</v>
      </c>
      <c r="B6">
        <f>B4*duofietsers_var2*(1-vrachtverkeer_var2)</f>
        <v>15.319984464052292</v>
      </c>
      <c r="C6" t="str">
        <f>IF(C$1&lt;VLOOKUP($A6,kritische_breedtes[#All],2,FALSE),"rood",IF(C$1&lt;VLOOKUP($A6,kritische_breedtes[#All],3,FALSE),"geel","groen"))</f>
        <v>rood</v>
      </c>
      <c r="D6" t="str">
        <f>IF(D$1&lt;VLOOKUP($A6,kritische_breedtes[#All],2,FALSE),"rood",IF(D$1&lt;VLOOKUP($A6,kritische_breedtes[#All],3,FALSE),"geel","groen"))</f>
        <v>geel</v>
      </c>
      <c r="E6" t="str">
        <f>IF(E$1&lt;VLOOKUP($A6,kritische_breedtes[#All],2,FALSE),"rood",IF(E$1&lt;VLOOKUP($A6,kritische_breedtes[#All],3,FALSE),"geel","groen"))</f>
        <v>geel</v>
      </c>
      <c r="F6" t="str">
        <f>IF(F$1&lt;VLOOKUP($A6,kritische_breedtes[#All],2,FALSE),"rood",IF(F$1&lt;VLOOKUP($A6,kritische_breedtes[#All],3,FALSE),"geel","groen"))</f>
        <v>geel</v>
      </c>
      <c r="G6" t="str">
        <f>IF(G$1&lt;VLOOKUP($A6,kritische_breedtes[#All],2,FALSE),"rood",IF(G$1&lt;VLOOKUP($A6,kritische_breedtes[#All],3,FALSE),"geel","groen"))</f>
        <v>geel</v>
      </c>
      <c r="H6" t="str">
        <f>IF(H$1&lt;VLOOKUP($A6,kritische_breedtes[#All],2,FALSE),"rood",IF(H$1&lt;VLOOKUP($A6,kritische_breedtes[#All],3,FALSE),"geel","groen"))</f>
        <v>groen</v>
      </c>
      <c r="I6" t="str">
        <f>IF(I$1&lt;VLOOKUP($A6,kritische_breedtes[#All],2,FALSE),"rood",IF(I$1&lt;VLOOKUP($A6,kritische_breedtes[#All],3,FALSE),"geel","groen"))</f>
        <v>groen</v>
      </c>
      <c r="J6" t="str">
        <f>IF(J$1&lt;VLOOKUP($A6,kritische_breedtes[#All],2,FALSE),"rood",IF(J$1&lt;VLOOKUP($A6,kritische_breedtes[#All],3,FALSE),"geel","groen"))</f>
        <v>groen</v>
      </c>
      <c r="K6" t="str">
        <f>IF(K$1&lt;VLOOKUP($A6,kritische_breedtes[#All],2,FALSE),"rood",IF(K$1&lt;VLOOKUP($A6,kritische_breedtes[#All],3,FALSE),"geel","groen"))</f>
        <v>groen</v>
      </c>
      <c r="L6" t="str">
        <f>IF(L$1&lt;VLOOKUP($A6,kritische_breedtes[#All],2,FALSE),"rood",IF(L$1&lt;VLOOKUP($A6,kritische_breedtes[#All],3,FALSE),"geel","groen"))</f>
        <v>groen</v>
      </c>
      <c r="M6" t="str">
        <f>IF(M$1&lt;VLOOKUP($A6,kritische_breedtes[#All],2,FALSE),"rood",IF(M$1&lt;VLOOKUP($A6,kritische_breedtes[#All],3,FALSE),"geel","groen"))</f>
        <v>groen</v>
      </c>
      <c r="N6" t="str">
        <f>IF(N$1&lt;VLOOKUP($A6,kritische_breedtes[#All],2,FALSE),"rood",IF(N$1&lt;VLOOKUP($A6,kritische_breedtes[#All],3,FALSE),"geel","groen"))</f>
        <v>groen</v>
      </c>
      <c r="O6" t="str">
        <f>IF(O$1&lt;VLOOKUP($A6,kritische_breedtes[#All],2,FALSE),"rood",IF(O$1&lt;VLOOKUP($A6,kritische_breedtes[#All],3,FALSE),"geel","groen"))</f>
        <v>groen</v>
      </c>
      <c r="P6" t="str">
        <f>IF(P$1&lt;VLOOKUP($A6,kritische_breedtes[#All],2,FALSE),"rood",IF(P$1&lt;VLOOKUP($A6,kritische_breedtes[#All],3,FALSE),"geel","groen"))</f>
        <v>groen</v>
      </c>
      <c r="Q6" t="str">
        <f>IF(Q$1&lt;VLOOKUP($A6,kritische_breedtes[#All],2,FALSE),"rood",IF(Q$1&lt;VLOOKUP($A6,kritische_breedtes[#All],3,FALSE),"geel","groen"))</f>
        <v>groen</v>
      </c>
      <c r="R6" t="str">
        <f>IF(R$1&lt;VLOOKUP($A6,kritische_breedtes[#All],2,FALSE),"rood",IF(R$1&lt;VLOOKUP($A6,kritische_breedtes[#All],3,FALSE),"geel","groen"))</f>
        <v>groen</v>
      </c>
      <c r="S6" t="str">
        <f>IF(S$1&lt;VLOOKUP($A6,kritische_breedtes[#All],2,FALSE),"rood",IF(S$1&lt;VLOOKUP($A6,kritische_breedtes[#All],3,FALSE),"geel","groen"))</f>
        <v>groen</v>
      </c>
      <c r="T6" t="str">
        <f>IF(T$1&lt;VLOOKUP($A6,kritische_breedtes[#All],2,FALSE),"rood",IF(T$1&lt;VLOOKUP($A6,kritische_breedtes[#All],3,FALSE),"geel","groen"))</f>
        <v>groen</v>
      </c>
      <c r="U6" t="str">
        <f>IF(U$1&lt;VLOOKUP($A6,kritische_breedtes[#All],2,FALSE),"rood",IF(U$1&lt;VLOOKUP($A6,kritische_breedtes[#All],3,FALSE),"geel","groen"))</f>
        <v>groen</v>
      </c>
      <c r="V6" t="str">
        <f>IF(V$1&lt;VLOOKUP($A6,kritische_breedtes[#All],2,FALSE),"rood",IF(V$1&lt;VLOOKUP($A6,kritische_breedtes[#All],3,FALSE),"geel","groen"))</f>
        <v>groen</v>
      </c>
      <c r="W6" t="str">
        <f>IF(W$1&lt;VLOOKUP($A6,kritische_breedtes[#All],2,FALSE),"rood",IF(W$1&lt;VLOOKUP($A6,kritische_breedtes[#All],3,FALSE),"geel","groen"))</f>
        <v>groen</v>
      </c>
      <c r="X6" t="str">
        <f>IF(X$1&lt;VLOOKUP($A6,kritische_breedtes[#All],2,FALSE),"rood",IF(X$1&lt;VLOOKUP($A6,kritische_breedtes[#All],3,FALSE),"geel","groen"))</f>
        <v>groen</v>
      </c>
      <c r="Y6" t="str">
        <f>IF(Y$1&lt;VLOOKUP($A6,kritische_breedtes[#All],2,FALSE),"rood",IF(Y$1&lt;VLOOKUP($A6,kritische_breedtes[#All],3,FALSE),"geel","groen"))</f>
        <v>groen</v>
      </c>
      <c r="Z6" t="str">
        <f>IF(Z$1&lt;VLOOKUP($A6,kritische_breedtes[#All],2,FALSE),"rood",IF(Z$1&lt;VLOOKUP($A6,kritische_breedtes[#All],3,FALSE),"geel","groen"))</f>
        <v>groen</v>
      </c>
      <c r="AA6" t="str">
        <f>IF(AA$1&lt;VLOOKUP($A6,kritische_breedtes[#All],2,FALSE),"rood",IF(AA$1&lt;VLOOKUP($A6,kritische_breedtes[#All],3,FALSE),"geel","groen"))</f>
        <v>groen</v>
      </c>
      <c r="AB6" t="str">
        <f>IF(AB$1&lt;VLOOKUP($A6,kritische_breedtes[#All],2,FALSE),"rood",IF(AB$1&lt;VLOOKUP($A6,kritische_breedtes[#All],3,FALSE),"geel","groen"))</f>
        <v>groen</v>
      </c>
      <c r="AC6" t="str">
        <f>IF(AC$1&lt;VLOOKUP($A6,kritische_breedtes[#All],2,FALSE),"rood",IF(AC$1&lt;VLOOKUP($A6,kritische_breedtes[#All],3,FALSE),"geel","groen"))</f>
        <v>groen</v>
      </c>
      <c r="AD6" t="str">
        <f>IF(AD$1&lt;VLOOKUP($A6,kritische_breedtes[#All],2,FALSE),"rood",IF(AD$1&lt;VLOOKUP($A6,kritische_breedtes[#All],3,FALSE),"geel","groen"))</f>
        <v>groen</v>
      </c>
    </row>
    <row r="7" spans="1:38">
      <c r="A7" t="s">
        <v>99</v>
      </c>
      <c r="B7">
        <f>B4*(1-duofietsers_var2)*vrachtverkeer_var2</f>
        <v>2.813874697478993</v>
      </c>
      <c r="C7" t="str">
        <f>IF(C$1&lt;VLOOKUP($A7,kritische_breedtes[#All],2,FALSE),"rood",IF(C$1&lt;VLOOKUP($A7,kritische_breedtes[#All],3,FALSE),"geel","groen"))</f>
        <v>rood</v>
      </c>
      <c r="D7" t="str">
        <f>IF(D$1&lt;VLOOKUP($A7,kritische_breedtes[#All],2,FALSE),"rood",IF(D$1&lt;VLOOKUP($A7,kritische_breedtes[#All],3,FALSE),"geel","groen"))</f>
        <v>geel</v>
      </c>
      <c r="E7" t="str">
        <f>IF(E$1&lt;VLOOKUP($A7,kritische_breedtes[#All],2,FALSE),"rood",IF(E$1&lt;VLOOKUP($A7,kritische_breedtes[#All],3,FALSE),"geel","groen"))</f>
        <v>geel</v>
      </c>
      <c r="F7" t="str">
        <f>IF(F$1&lt;VLOOKUP($A7,kritische_breedtes[#All],2,FALSE),"rood",IF(F$1&lt;VLOOKUP($A7,kritische_breedtes[#All],3,FALSE),"geel","groen"))</f>
        <v>geel</v>
      </c>
      <c r="G7" t="str">
        <f>IF(G$1&lt;VLOOKUP($A7,kritische_breedtes[#All],2,FALSE),"rood",IF(G$1&lt;VLOOKUP($A7,kritische_breedtes[#All],3,FALSE),"geel","groen"))</f>
        <v>groen</v>
      </c>
      <c r="H7" t="str">
        <f>IF(H$1&lt;VLOOKUP($A7,kritische_breedtes[#All],2,FALSE),"rood",IF(H$1&lt;VLOOKUP($A7,kritische_breedtes[#All],3,FALSE),"geel","groen"))</f>
        <v>groen</v>
      </c>
      <c r="I7" t="str">
        <f>IF(I$1&lt;VLOOKUP($A7,kritische_breedtes[#All],2,FALSE),"rood",IF(I$1&lt;VLOOKUP($A7,kritische_breedtes[#All],3,FALSE),"geel","groen"))</f>
        <v>groen</v>
      </c>
      <c r="J7" t="str">
        <f>IF(J$1&lt;VLOOKUP($A7,kritische_breedtes[#All],2,FALSE),"rood",IF(J$1&lt;VLOOKUP($A7,kritische_breedtes[#All],3,FALSE),"geel","groen"))</f>
        <v>groen</v>
      </c>
      <c r="K7" t="str">
        <f>IF(K$1&lt;VLOOKUP($A7,kritische_breedtes[#All],2,FALSE),"rood",IF(K$1&lt;VLOOKUP($A7,kritische_breedtes[#All],3,FALSE),"geel","groen"))</f>
        <v>groen</v>
      </c>
      <c r="L7" t="str">
        <f>IF(L$1&lt;VLOOKUP($A7,kritische_breedtes[#All],2,FALSE),"rood",IF(L$1&lt;VLOOKUP($A7,kritische_breedtes[#All],3,FALSE),"geel","groen"))</f>
        <v>groen</v>
      </c>
      <c r="M7" t="str">
        <f>IF(M$1&lt;VLOOKUP($A7,kritische_breedtes[#All],2,FALSE),"rood",IF(M$1&lt;VLOOKUP($A7,kritische_breedtes[#All],3,FALSE),"geel","groen"))</f>
        <v>groen</v>
      </c>
      <c r="N7" t="str">
        <f>IF(N$1&lt;VLOOKUP($A7,kritische_breedtes[#All],2,FALSE),"rood",IF(N$1&lt;VLOOKUP($A7,kritische_breedtes[#All],3,FALSE),"geel","groen"))</f>
        <v>groen</v>
      </c>
      <c r="O7" t="str">
        <f>IF(O$1&lt;VLOOKUP($A7,kritische_breedtes[#All],2,FALSE),"rood",IF(O$1&lt;VLOOKUP($A7,kritische_breedtes[#All],3,FALSE),"geel","groen"))</f>
        <v>groen</v>
      </c>
      <c r="P7" t="str">
        <f>IF(P$1&lt;VLOOKUP($A7,kritische_breedtes[#All],2,FALSE),"rood",IF(P$1&lt;VLOOKUP($A7,kritische_breedtes[#All],3,FALSE),"geel","groen"))</f>
        <v>groen</v>
      </c>
      <c r="Q7" t="str">
        <f>IF(Q$1&lt;VLOOKUP($A7,kritische_breedtes[#All],2,FALSE),"rood",IF(Q$1&lt;VLOOKUP($A7,kritische_breedtes[#All],3,FALSE),"geel","groen"))</f>
        <v>groen</v>
      </c>
      <c r="R7" t="str">
        <f>IF(R$1&lt;VLOOKUP($A7,kritische_breedtes[#All],2,FALSE),"rood",IF(R$1&lt;VLOOKUP($A7,kritische_breedtes[#All],3,FALSE),"geel","groen"))</f>
        <v>groen</v>
      </c>
      <c r="S7" t="str">
        <f>IF(S$1&lt;VLOOKUP($A7,kritische_breedtes[#All],2,FALSE),"rood",IF(S$1&lt;VLOOKUP($A7,kritische_breedtes[#All],3,FALSE),"geel","groen"))</f>
        <v>groen</v>
      </c>
      <c r="T7" t="str">
        <f>IF(T$1&lt;VLOOKUP($A7,kritische_breedtes[#All],2,FALSE),"rood",IF(T$1&lt;VLOOKUP($A7,kritische_breedtes[#All],3,FALSE),"geel","groen"))</f>
        <v>groen</v>
      </c>
      <c r="U7" t="str">
        <f>IF(U$1&lt;VLOOKUP($A7,kritische_breedtes[#All],2,FALSE),"rood",IF(U$1&lt;VLOOKUP($A7,kritische_breedtes[#All],3,FALSE),"geel","groen"))</f>
        <v>groen</v>
      </c>
      <c r="V7" t="str">
        <f>IF(V$1&lt;VLOOKUP($A7,kritische_breedtes[#All],2,FALSE),"rood",IF(V$1&lt;VLOOKUP($A7,kritische_breedtes[#All],3,FALSE),"geel","groen"))</f>
        <v>groen</v>
      </c>
      <c r="W7" t="str">
        <f>IF(W$1&lt;VLOOKUP($A7,kritische_breedtes[#All],2,FALSE),"rood",IF(W$1&lt;VLOOKUP($A7,kritische_breedtes[#All],3,FALSE),"geel","groen"))</f>
        <v>groen</v>
      </c>
      <c r="X7" t="str">
        <f>IF(X$1&lt;VLOOKUP($A7,kritische_breedtes[#All],2,FALSE),"rood",IF(X$1&lt;VLOOKUP($A7,kritische_breedtes[#All],3,FALSE),"geel","groen"))</f>
        <v>groen</v>
      </c>
      <c r="Y7" t="str">
        <f>IF(Y$1&lt;VLOOKUP($A7,kritische_breedtes[#All],2,FALSE),"rood",IF(Y$1&lt;VLOOKUP($A7,kritische_breedtes[#All],3,FALSE),"geel","groen"))</f>
        <v>groen</v>
      </c>
      <c r="Z7" t="str">
        <f>IF(Z$1&lt;VLOOKUP($A7,kritische_breedtes[#All],2,FALSE),"rood",IF(Z$1&lt;VLOOKUP($A7,kritische_breedtes[#All],3,FALSE),"geel","groen"))</f>
        <v>groen</v>
      </c>
      <c r="AA7" t="str">
        <f>IF(AA$1&lt;VLOOKUP($A7,kritische_breedtes[#All],2,FALSE),"rood",IF(AA$1&lt;VLOOKUP($A7,kritische_breedtes[#All],3,FALSE),"geel","groen"))</f>
        <v>groen</v>
      </c>
      <c r="AB7" t="str">
        <f>IF(AB$1&lt;VLOOKUP($A7,kritische_breedtes[#All],2,FALSE),"rood",IF(AB$1&lt;VLOOKUP($A7,kritische_breedtes[#All],3,FALSE),"geel","groen"))</f>
        <v>groen</v>
      </c>
      <c r="AC7" t="str">
        <f>IF(AC$1&lt;VLOOKUP($A7,kritische_breedtes[#All],2,FALSE),"rood",IF(AC$1&lt;VLOOKUP($A7,kritische_breedtes[#All],3,FALSE),"geel","groen"))</f>
        <v>groen</v>
      </c>
      <c r="AD7" t="str">
        <f>IF(AD$1&lt;VLOOKUP($A7,kritische_breedtes[#All],2,FALSE),"rood",IF(AD$1&lt;VLOOKUP($A7,kritische_breedtes[#All],3,FALSE),"geel","groen"))</f>
        <v>groen</v>
      </c>
    </row>
    <row r="8" spans="1:38">
      <c r="A8" t="s">
        <v>105</v>
      </c>
      <c r="B8">
        <f>B4*duofietsers_var2*vrachtverkeer_var2</f>
        <v>0.31265274416433253</v>
      </c>
      <c r="C8" t="str">
        <f>IF(C$1&lt;VLOOKUP($A8,kritische_breedtes[#All],2,FALSE),"rood",IF(C$1&lt;VLOOKUP($A8,kritische_breedtes[#All],3,FALSE),"geel","groen"))</f>
        <v>rood</v>
      </c>
      <c r="D8" t="str">
        <f>IF(D$1&lt;VLOOKUP($A8,kritische_breedtes[#All],2,FALSE),"rood",IF(D$1&lt;VLOOKUP($A8,kritische_breedtes[#All],3,FALSE),"geel","groen"))</f>
        <v>rood</v>
      </c>
      <c r="E8" t="str">
        <f>IF(E$1&lt;VLOOKUP($A8,kritische_breedtes[#All],2,FALSE),"rood",IF(E$1&lt;VLOOKUP($A8,kritische_breedtes[#All],3,FALSE),"geel","groen"))</f>
        <v>rood</v>
      </c>
      <c r="F8" t="str">
        <f>IF(F$1&lt;VLOOKUP($A8,kritische_breedtes[#All],2,FALSE),"rood",IF(F$1&lt;VLOOKUP($A8,kritische_breedtes[#All],3,FALSE),"geel","groen"))</f>
        <v>geel</v>
      </c>
      <c r="G8" t="str">
        <f>IF(G$1&lt;VLOOKUP($A8,kritische_breedtes[#All],2,FALSE),"rood",IF(G$1&lt;VLOOKUP($A8,kritische_breedtes[#All],3,FALSE),"geel","groen"))</f>
        <v>geel</v>
      </c>
      <c r="H8" t="str">
        <f>IF(H$1&lt;VLOOKUP($A8,kritische_breedtes[#All],2,FALSE),"rood",IF(H$1&lt;VLOOKUP($A8,kritische_breedtes[#All],3,FALSE),"geel","groen"))</f>
        <v>geel</v>
      </c>
      <c r="I8" t="str">
        <f>IF(I$1&lt;VLOOKUP($A8,kritische_breedtes[#All],2,FALSE),"rood",IF(I$1&lt;VLOOKUP($A8,kritische_breedtes[#All],3,FALSE),"geel","groen"))</f>
        <v>geel</v>
      </c>
      <c r="J8" t="str">
        <f>IF(J$1&lt;VLOOKUP($A8,kritische_breedtes[#All],2,FALSE),"rood",IF(J$1&lt;VLOOKUP($A8,kritische_breedtes[#All],3,FALSE),"geel","groen"))</f>
        <v>geel</v>
      </c>
      <c r="K8" t="str">
        <f>IF(K$1&lt;VLOOKUP($A8,kritische_breedtes[#All],2,FALSE),"rood",IF(K$1&lt;VLOOKUP($A8,kritische_breedtes[#All],3,FALSE),"geel","groen"))</f>
        <v>groen</v>
      </c>
      <c r="L8" t="str">
        <f>IF(L$1&lt;VLOOKUP($A8,kritische_breedtes[#All],2,FALSE),"rood",IF(L$1&lt;VLOOKUP($A8,kritische_breedtes[#All],3,FALSE),"geel","groen"))</f>
        <v>groen</v>
      </c>
      <c r="M8" t="str">
        <f>IF(M$1&lt;VLOOKUP($A8,kritische_breedtes[#All],2,FALSE),"rood",IF(M$1&lt;VLOOKUP($A8,kritische_breedtes[#All],3,FALSE),"geel","groen"))</f>
        <v>groen</v>
      </c>
      <c r="N8" t="str">
        <f>IF(N$1&lt;VLOOKUP($A8,kritische_breedtes[#All],2,FALSE),"rood",IF(N$1&lt;VLOOKUP($A8,kritische_breedtes[#All],3,FALSE),"geel","groen"))</f>
        <v>groen</v>
      </c>
      <c r="O8" t="str">
        <f>IF(O$1&lt;VLOOKUP($A8,kritische_breedtes[#All],2,FALSE),"rood",IF(O$1&lt;VLOOKUP($A8,kritische_breedtes[#All],3,FALSE),"geel","groen"))</f>
        <v>groen</v>
      </c>
      <c r="P8" t="str">
        <f>IF(P$1&lt;VLOOKUP($A8,kritische_breedtes[#All],2,FALSE),"rood",IF(P$1&lt;VLOOKUP($A8,kritische_breedtes[#All],3,FALSE),"geel","groen"))</f>
        <v>groen</v>
      </c>
      <c r="Q8" t="str">
        <f>IF(Q$1&lt;VLOOKUP($A8,kritische_breedtes[#All],2,FALSE),"rood",IF(Q$1&lt;VLOOKUP($A8,kritische_breedtes[#All],3,FALSE),"geel","groen"))</f>
        <v>groen</v>
      </c>
      <c r="R8" t="str">
        <f>IF(R$1&lt;VLOOKUP($A8,kritische_breedtes[#All],2,FALSE),"rood",IF(R$1&lt;VLOOKUP($A8,kritische_breedtes[#All],3,FALSE),"geel","groen"))</f>
        <v>groen</v>
      </c>
      <c r="S8" t="str">
        <f>IF(S$1&lt;VLOOKUP($A8,kritische_breedtes[#All],2,FALSE),"rood",IF(S$1&lt;VLOOKUP($A8,kritische_breedtes[#All],3,FALSE),"geel","groen"))</f>
        <v>groen</v>
      </c>
      <c r="T8" t="str">
        <f>IF(T$1&lt;VLOOKUP($A8,kritische_breedtes[#All],2,FALSE),"rood",IF(T$1&lt;VLOOKUP($A8,kritische_breedtes[#All],3,FALSE),"geel","groen"))</f>
        <v>groen</v>
      </c>
      <c r="U8" t="str">
        <f>IF(U$1&lt;VLOOKUP($A8,kritische_breedtes[#All],2,FALSE),"rood",IF(U$1&lt;VLOOKUP($A8,kritische_breedtes[#All],3,FALSE),"geel","groen"))</f>
        <v>groen</v>
      </c>
      <c r="V8" t="str">
        <f>IF(V$1&lt;VLOOKUP($A8,kritische_breedtes[#All],2,FALSE),"rood",IF(V$1&lt;VLOOKUP($A8,kritische_breedtes[#All],3,FALSE),"geel","groen"))</f>
        <v>groen</v>
      </c>
      <c r="W8" t="str">
        <f>IF(W$1&lt;VLOOKUP($A8,kritische_breedtes[#All],2,FALSE),"rood",IF(W$1&lt;VLOOKUP($A8,kritische_breedtes[#All],3,FALSE),"geel","groen"))</f>
        <v>groen</v>
      </c>
      <c r="X8" t="str">
        <f>IF(X$1&lt;VLOOKUP($A8,kritische_breedtes[#All],2,FALSE),"rood",IF(X$1&lt;VLOOKUP($A8,kritische_breedtes[#All],3,FALSE),"geel","groen"))</f>
        <v>groen</v>
      </c>
      <c r="Y8" t="str">
        <f>IF(Y$1&lt;VLOOKUP($A8,kritische_breedtes[#All],2,FALSE),"rood",IF(Y$1&lt;VLOOKUP($A8,kritische_breedtes[#All],3,FALSE),"geel","groen"))</f>
        <v>groen</v>
      </c>
      <c r="Z8" t="str">
        <f>IF(Z$1&lt;VLOOKUP($A8,kritische_breedtes[#All],2,FALSE),"rood",IF(Z$1&lt;VLOOKUP($A8,kritische_breedtes[#All],3,FALSE),"geel","groen"))</f>
        <v>groen</v>
      </c>
      <c r="AA8" t="str">
        <f>IF(AA$1&lt;VLOOKUP($A8,kritische_breedtes[#All],2,FALSE),"rood",IF(AA$1&lt;VLOOKUP($A8,kritische_breedtes[#All],3,FALSE),"geel","groen"))</f>
        <v>groen</v>
      </c>
      <c r="AB8" t="str">
        <f>IF(AB$1&lt;VLOOKUP($A8,kritische_breedtes[#All],2,FALSE),"rood",IF(AB$1&lt;VLOOKUP($A8,kritische_breedtes[#All],3,FALSE),"geel","groen"))</f>
        <v>groen</v>
      </c>
      <c r="AC8" t="str">
        <f>IF(AC$1&lt;VLOOKUP($A8,kritische_breedtes[#All],2,FALSE),"rood",IF(AC$1&lt;VLOOKUP($A8,kritische_breedtes[#All],3,FALSE),"geel","groen"))</f>
        <v>groen</v>
      </c>
      <c r="AD8" t="str">
        <f>IF(AD$1&lt;VLOOKUP($A8,kritische_breedtes[#All],2,FALSE),"rood",IF(AD$1&lt;VLOOKUP($A8,kritische_breedtes[#All],3,FALSE),"geel","groen"))</f>
        <v>groen</v>
      </c>
      <c r="AI8" t="s">
        <v>78</v>
      </c>
      <c r="AJ8">
        <f>(lengte_auto+lengte_fiets)/((v_auto_var2-v_fiets_var2)/3.6)+vooruitkijken</f>
        <v>11.694117647058823</v>
      </c>
    </row>
    <row r="10" spans="1:38">
      <c r="A10" t="s">
        <v>184</v>
      </c>
      <c r="B10">
        <f>MAX(0,i_fiets_sec_ri1_var2*i_auto_sec_ri2_var2*(t_fiets_var2+t_auto_var2)*periode+i_fiets_sec_ri2_var2*i_auto_sec_ri1_var2*(t_fiets_var2+t_auto_var2)*periode-B16-B24-B32)</f>
        <v>716.64383239962649</v>
      </c>
    </row>
    <row r="11" spans="1:38">
      <c r="A11" t="s">
        <v>86</v>
      </c>
      <c r="B11">
        <f>B10*(1-duofietsers_var2)*(1-vrachtverkeer_var2)</f>
        <v>632.07986017647056</v>
      </c>
      <c r="C11" t="str">
        <f>IF(C$1&lt;VLOOKUP($A11,kritische_breedtes[#All],2,FALSE),"rood",IF(C$1&lt;VLOOKUP($A11,kritische_breedtes[#All],3,FALSE),"geel","groen"))</f>
        <v>geel</v>
      </c>
      <c r="D11" t="str">
        <f>IF(D$1&lt;VLOOKUP($A11,kritische_breedtes[#All],2,FALSE),"rood",IF(D$1&lt;VLOOKUP($A11,kritische_breedtes[#All],3,FALSE),"geel","groen"))</f>
        <v>geel</v>
      </c>
      <c r="E11" t="str">
        <f>IF(E$1&lt;VLOOKUP($A11,kritische_breedtes[#All],2,FALSE),"rood",IF(E$1&lt;VLOOKUP($A11,kritische_breedtes[#All],3,FALSE),"geel","groen"))</f>
        <v>groen</v>
      </c>
      <c r="F11" t="str">
        <f>IF(F$1&lt;VLOOKUP($A11,kritische_breedtes[#All],2,FALSE),"rood",IF(F$1&lt;VLOOKUP($A11,kritische_breedtes[#All],3,FALSE),"geel","groen"))</f>
        <v>groen</v>
      </c>
      <c r="G11" t="str">
        <f>IF(G$1&lt;VLOOKUP($A11,kritische_breedtes[#All],2,FALSE),"rood",IF(G$1&lt;VLOOKUP($A11,kritische_breedtes[#All],3,FALSE),"geel","groen"))</f>
        <v>groen</v>
      </c>
      <c r="H11" t="str">
        <f>IF(H$1&lt;VLOOKUP($A11,kritische_breedtes[#All],2,FALSE),"rood",IF(H$1&lt;VLOOKUP($A11,kritische_breedtes[#All],3,FALSE),"geel","groen"))</f>
        <v>groen</v>
      </c>
      <c r="I11" t="str">
        <f>IF(I$1&lt;VLOOKUP($A11,kritische_breedtes[#All],2,FALSE),"rood",IF(I$1&lt;VLOOKUP($A11,kritische_breedtes[#All],3,FALSE),"geel","groen"))</f>
        <v>groen</v>
      </c>
      <c r="J11" t="str">
        <f>IF(J$1&lt;VLOOKUP($A11,kritische_breedtes[#All],2,FALSE),"rood",IF(J$1&lt;VLOOKUP($A11,kritische_breedtes[#All],3,FALSE),"geel","groen"))</f>
        <v>groen</v>
      </c>
      <c r="K11" t="str">
        <f>IF(K$1&lt;VLOOKUP($A11,kritische_breedtes[#All],2,FALSE),"rood",IF(K$1&lt;VLOOKUP($A11,kritische_breedtes[#All],3,FALSE),"geel","groen"))</f>
        <v>groen</v>
      </c>
      <c r="L11" t="str">
        <f>IF(L$1&lt;VLOOKUP($A11,kritische_breedtes[#All],2,FALSE),"rood",IF(L$1&lt;VLOOKUP($A11,kritische_breedtes[#All],3,FALSE),"geel","groen"))</f>
        <v>groen</v>
      </c>
      <c r="M11" t="str">
        <f>IF(M$1&lt;VLOOKUP($A11,kritische_breedtes[#All],2,FALSE),"rood",IF(M$1&lt;VLOOKUP($A11,kritische_breedtes[#All],3,FALSE),"geel","groen"))</f>
        <v>groen</v>
      </c>
      <c r="N11" t="str">
        <f>IF(N$1&lt;VLOOKUP($A11,kritische_breedtes[#All],2,FALSE),"rood",IF(N$1&lt;VLOOKUP($A11,kritische_breedtes[#All],3,FALSE),"geel","groen"))</f>
        <v>groen</v>
      </c>
      <c r="O11" t="str">
        <f>IF(O$1&lt;VLOOKUP($A11,kritische_breedtes[#All],2,FALSE),"rood",IF(O$1&lt;VLOOKUP($A11,kritische_breedtes[#All],3,FALSE),"geel","groen"))</f>
        <v>groen</v>
      </c>
      <c r="P11" t="str">
        <f>IF(P$1&lt;VLOOKUP($A11,kritische_breedtes[#All],2,FALSE),"rood",IF(P$1&lt;VLOOKUP($A11,kritische_breedtes[#All],3,FALSE),"geel","groen"))</f>
        <v>groen</v>
      </c>
      <c r="Q11" t="str">
        <f>IF(Q$1&lt;VLOOKUP($A11,kritische_breedtes[#All],2,FALSE),"rood",IF(Q$1&lt;VLOOKUP($A11,kritische_breedtes[#All],3,FALSE),"geel","groen"))</f>
        <v>groen</v>
      </c>
      <c r="R11" t="str">
        <f>IF(R$1&lt;VLOOKUP($A11,kritische_breedtes[#All],2,FALSE),"rood",IF(R$1&lt;VLOOKUP($A11,kritische_breedtes[#All],3,FALSE),"geel","groen"))</f>
        <v>groen</v>
      </c>
      <c r="S11" t="str">
        <f>IF(S$1&lt;VLOOKUP($A11,kritische_breedtes[#All],2,FALSE),"rood",IF(S$1&lt;VLOOKUP($A11,kritische_breedtes[#All],3,FALSE),"geel","groen"))</f>
        <v>groen</v>
      </c>
      <c r="T11" t="str">
        <f>IF(T$1&lt;VLOOKUP($A11,kritische_breedtes[#All],2,FALSE),"rood",IF(T$1&lt;VLOOKUP($A11,kritische_breedtes[#All],3,FALSE),"geel","groen"))</f>
        <v>groen</v>
      </c>
      <c r="U11" t="str">
        <f>IF(U$1&lt;VLOOKUP($A11,kritische_breedtes[#All],2,FALSE),"rood",IF(U$1&lt;VLOOKUP($A11,kritische_breedtes[#All],3,FALSE),"geel","groen"))</f>
        <v>groen</v>
      </c>
      <c r="V11" t="str">
        <f>IF(V$1&lt;VLOOKUP($A11,kritische_breedtes[#All],2,FALSE),"rood",IF(V$1&lt;VLOOKUP($A11,kritische_breedtes[#All],3,FALSE),"geel","groen"))</f>
        <v>groen</v>
      </c>
      <c r="W11" t="str">
        <f>IF(W$1&lt;VLOOKUP($A11,kritische_breedtes[#All],2,FALSE),"rood",IF(W$1&lt;VLOOKUP($A11,kritische_breedtes[#All],3,FALSE),"geel","groen"))</f>
        <v>groen</v>
      </c>
      <c r="X11" t="str">
        <f>IF(X$1&lt;VLOOKUP($A11,kritische_breedtes[#All],2,FALSE),"rood",IF(X$1&lt;VLOOKUP($A11,kritische_breedtes[#All],3,FALSE),"geel","groen"))</f>
        <v>groen</v>
      </c>
      <c r="Y11" t="str">
        <f>IF(Y$1&lt;VLOOKUP($A11,kritische_breedtes[#All],2,FALSE),"rood",IF(Y$1&lt;VLOOKUP($A11,kritische_breedtes[#All],3,FALSE),"geel","groen"))</f>
        <v>groen</v>
      </c>
      <c r="Z11" t="str">
        <f>IF(Z$1&lt;VLOOKUP($A11,kritische_breedtes[#All],2,FALSE),"rood",IF(Z$1&lt;VLOOKUP($A11,kritische_breedtes[#All],3,FALSE),"geel","groen"))</f>
        <v>groen</v>
      </c>
      <c r="AA11" t="str">
        <f>IF(AA$1&lt;VLOOKUP($A11,kritische_breedtes[#All],2,FALSE),"rood",IF(AA$1&lt;VLOOKUP($A11,kritische_breedtes[#All],3,FALSE),"geel","groen"))</f>
        <v>groen</v>
      </c>
      <c r="AB11" t="str">
        <f>IF(AB$1&lt;VLOOKUP($A11,kritische_breedtes[#All],2,FALSE),"rood",IF(AB$1&lt;VLOOKUP($A11,kritische_breedtes[#All],3,FALSE),"geel","groen"))</f>
        <v>groen</v>
      </c>
      <c r="AC11" t="str">
        <f>IF(AC$1&lt;VLOOKUP($A11,kritische_breedtes[#All],2,FALSE),"rood",IF(AC$1&lt;VLOOKUP($A11,kritische_breedtes[#All],3,FALSE),"geel","groen"))</f>
        <v>groen</v>
      </c>
      <c r="AD11" t="str">
        <f>IF(AD$1&lt;VLOOKUP($A11,kritische_breedtes[#All],2,FALSE),"rood",IF(AD$1&lt;VLOOKUP($A11,kritische_breedtes[#All],3,FALSE),"geel","groen"))</f>
        <v>groen</v>
      </c>
    </row>
    <row r="12" spans="1:38">
      <c r="A12" t="s">
        <v>92</v>
      </c>
      <c r="B12">
        <f>B10*duofietsers_var2*(1-vrachtverkeer_var2)</f>
        <v>70.231095575163394</v>
      </c>
      <c r="C12" t="str">
        <f>IF(C$1&lt;VLOOKUP($A12,kritische_breedtes[#All],2,FALSE),"rood",IF(C$1&lt;VLOOKUP($A12,kritische_breedtes[#All],3,FALSE),"geel","groen"))</f>
        <v>rood</v>
      </c>
      <c r="D12" t="str">
        <f>IF(D$1&lt;VLOOKUP($A12,kritische_breedtes[#All],2,FALSE),"rood",IF(D$1&lt;VLOOKUP($A12,kritische_breedtes[#All],3,FALSE),"geel","groen"))</f>
        <v>geel</v>
      </c>
      <c r="E12" t="str">
        <f>IF(E$1&lt;VLOOKUP($A12,kritische_breedtes[#All],2,FALSE),"rood",IF(E$1&lt;VLOOKUP($A12,kritische_breedtes[#All],3,FALSE),"geel","groen"))</f>
        <v>geel</v>
      </c>
      <c r="F12" t="str">
        <f>IF(F$1&lt;VLOOKUP($A12,kritische_breedtes[#All],2,FALSE),"rood",IF(F$1&lt;VLOOKUP($A12,kritische_breedtes[#All],3,FALSE),"geel","groen"))</f>
        <v>geel</v>
      </c>
      <c r="G12" t="str">
        <f>IF(G$1&lt;VLOOKUP($A12,kritische_breedtes[#All],2,FALSE),"rood",IF(G$1&lt;VLOOKUP($A12,kritische_breedtes[#All],3,FALSE),"geel","groen"))</f>
        <v>geel</v>
      </c>
      <c r="H12" t="str">
        <f>IF(H$1&lt;VLOOKUP($A12,kritische_breedtes[#All],2,FALSE),"rood",IF(H$1&lt;VLOOKUP($A12,kritische_breedtes[#All],3,FALSE),"geel","groen"))</f>
        <v>groen</v>
      </c>
      <c r="I12" t="str">
        <f>IF(I$1&lt;VLOOKUP($A12,kritische_breedtes[#All],2,FALSE),"rood",IF(I$1&lt;VLOOKUP($A12,kritische_breedtes[#All],3,FALSE),"geel","groen"))</f>
        <v>groen</v>
      </c>
      <c r="J12" t="str">
        <f>IF(J$1&lt;VLOOKUP($A12,kritische_breedtes[#All],2,FALSE),"rood",IF(J$1&lt;VLOOKUP($A12,kritische_breedtes[#All],3,FALSE),"geel","groen"))</f>
        <v>groen</v>
      </c>
      <c r="K12" t="str">
        <f>IF(K$1&lt;VLOOKUP($A12,kritische_breedtes[#All],2,FALSE),"rood",IF(K$1&lt;VLOOKUP($A12,kritische_breedtes[#All],3,FALSE),"geel","groen"))</f>
        <v>groen</v>
      </c>
      <c r="L12" t="str">
        <f>IF(L$1&lt;VLOOKUP($A12,kritische_breedtes[#All],2,FALSE),"rood",IF(L$1&lt;VLOOKUP($A12,kritische_breedtes[#All],3,FALSE),"geel","groen"))</f>
        <v>groen</v>
      </c>
      <c r="M12" t="str">
        <f>IF(M$1&lt;VLOOKUP($A12,kritische_breedtes[#All],2,FALSE),"rood",IF(M$1&lt;VLOOKUP($A12,kritische_breedtes[#All],3,FALSE),"geel","groen"))</f>
        <v>groen</v>
      </c>
      <c r="N12" t="str">
        <f>IF(N$1&lt;VLOOKUP($A12,kritische_breedtes[#All],2,FALSE),"rood",IF(N$1&lt;VLOOKUP($A12,kritische_breedtes[#All],3,FALSE),"geel","groen"))</f>
        <v>groen</v>
      </c>
      <c r="O12" t="str">
        <f>IF(O$1&lt;VLOOKUP($A12,kritische_breedtes[#All],2,FALSE),"rood",IF(O$1&lt;VLOOKUP($A12,kritische_breedtes[#All],3,FALSE),"geel","groen"))</f>
        <v>groen</v>
      </c>
      <c r="P12" t="str">
        <f>IF(P$1&lt;VLOOKUP($A12,kritische_breedtes[#All],2,FALSE),"rood",IF(P$1&lt;VLOOKUP($A12,kritische_breedtes[#All],3,FALSE),"geel","groen"))</f>
        <v>groen</v>
      </c>
      <c r="Q12" t="str">
        <f>IF(Q$1&lt;VLOOKUP($A12,kritische_breedtes[#All],2,FALSE),"rood",IF(Q$1&lt;VLOOKUP($A12,kritische_breedtes[#All],3,FALSE),"geel","groen"))</f>
        <v>groen</v>
      </c>
      <c r="R12" t="str">
        <f>IF(R$1&lt;VLOOKUP($A12,kritische_breedtes[#All],2,FALSE),"rood",IF(R$1&lt;VLOOKUP($A12,kritische_breedtes[#All],3,FALSE),"geel","groen"))</f>
        <v>groen</v>
      </c>
      <c r="S12" t="str">
        <f>IF(S$1&lt;VLOOKUP($A12,kritische_breedtes[#All],2,FALSE),"rood",IF(S$1&lt;VLOOKUP($A12,kritische_breedtes[#All],3,FALSE),"geel","groen"))</f>
        <v>groen</v>
      </c>
      <c r="T12" t="str">
        <f>IF(T$1&lt;VLOOKUP($A12,kritische_breedtes[#All],2,FALSE),"rood",IF(T$1&lt;VLOOKUP($A12,kritische_breedtes[#All],3,FALSE),"geel","groen"))</f>
        <v>groen</v>
      </c>
      <c r="U12" t="str">
        <f>IF(U$1&lt;VLOOKUP($A12,kritische_breedtes[#All],2,FALSE),"rood",IF(U$1&lt;VLOOKUP($A12,kritische_breedtes[#All],3,FALSE),"geel","groen"))</f>
        <v>groen</v>
      </c>
      <c r="V12" t="str">
        <f>IF(V$1&lt;VLOOKUP($A12,kritische_breedtes[#All],2,FALSE),"rood",IF(V$1&lt;VLOOKUP($A12,kritische_breedtes[#All],3,FALSE),"geel","groen"))</f>
        <v>groen</v>
      </c>
      <c r="W12" t="str">
        <f>IF(W$1&lt;VLOOKUP($A12,kritische_breedtes[#All],2,FALSE),"rood",IF(W$1&lt;VLOOKUP($A12,kritische_breedtes[#All],3,FALSE),"geel","groen"))</f>
        <v>groen</v>
      </c>
      <c r="X12" t="str">
        <f>IF(X$1&lt;VLOOKUP($A12,kritische_breedtes[#All],2,FALSE),"rood",IF(X$1&lt;VLOOKUP($A12,kritische_breedtes[#All],3,FALSE),"geel","groen"))</f>
        <v>groen</v>
      </c>
      <c r="Y12" t="str">
        <f>IF(Y$1&lt;VLOOKUP($A12,kritische_breedtes[#All],2,FALSE),"rood",IF(Y$1&lt;VLOOKUP($A12,kritische_breedtes[#All],3,FALSE),"geel","groen"))</f>
        <v>groen</v>
      </c>
      <c r="Z12" t="str">
        <f>IF(Z$1&lt;VLOOKUP($A12,kritische_breedtes[#All],2,FALSE),"rood",IF(Z$1&lt;VLOOKUP($A12,kritische_breedtes[#All],3,FALSE),"geel","groen"))</f>
        <v>groen</v>
      </c>
      <c r="AA12" t="str">
        <f>IF(AA$1&lt;VLOOKUP($A12,kritische_breedtes[#All],2,FALSE),"rood",IF(AA$1&lt;VLOOKUP($A12,kritische_breedtes[#All],3,FALSE),"geel","groen"))</f>
        <v>groen</v>
      </c>
      <c r="AB12" t="str">
        <f>IF(AB$1&lt;VLOOKUP($A12,kritische_breedtes[#All],2,FALSE),"rood",IF(AB$1&lt;VLOOKUP($A12,kritische_breedtes[#All],3,FALSE),"geel","groen"))</f>
        <v>groen</v>
      </c>
      <c r="AC12" t="str">
        <f>IF(AC$1&lt;VLOOKUP($A12,kritische_breedtes[#All],2,FALSE),"rood",IF(AC$1&lt;VLOOKUP($A12,kritische_breedtes[#All],3,FALSE),"geel","groen"))</f>
        <v>groen</v>
      </c>
      <c r="AD12" t="str">
        <f>IF(AD$1&lt;VLOOKUP($A12,kritische_breedtes[#All],2,FALSE),"rood",IF(AD$1&lt;VLOOKUP($A12,kritische_breedtes[#All],3,FALSE),"geel","groen"))</f>
        <v>groen</v>
      </c>
    </row>
    <row r="13" spans="1:38">
      <c r="A13" t="s">
        <v>99</v>
      </c>
      <c r="B13">
        <f>B10*(1-duofietsers_var2)*vrachtverkeer_var2</f>
        <v>12.899588983193278</v>
      </c>
      <c r="C13" t="str">
        <f>IF(C$1&lt;VLOOKUP($A13,kritische_breedtes[#All],2,FALSE),"rood",IF(C$1&lt;VLOOKUP($A13,kritische_breedtes[#All],3,FALSE),"geel","groen"))</f>
        <v>rood</v>
      </c>
      <c r="D13" t="str">
        <f>IF(D$1&lt;VLOOKUP($A13,kritische_breedtes[#All],2,FALSE),"rood",IF(D$1&lt;VLOOKUP($A13,kritische_breedtes[#All],3,FALSE),"geel","groen"))</f>
        <v>geel</v>
      </c>
      <c r="E13" t="str">
        <f>IF(E$1&lt;VLOOKUP($A13,kritische_breedtes[#All],2,FALSE),"rood",IF(E$1&lt;VLOOKUP($A13,kritische_breedtes[#All],3,FALSE),"geel","groen"))</f>
        <v>geel</v>
      </c>
      <c r="F13" t="str">
        <f>IF(F$1&lt;VLOOKUP($A13,kritische_breedtes[#All],2,FALSE),"rood",IF(F$1&lt;VLOOKUP($A13,kritische_breedtes[#All],3,FALSE),"geel","groen"))</f>
        <v>geel</v>
      </c>
      <c r="G13" t="str">
        <f>IF(G$1&lt;VLOOKUP($A13,kritische_breedtes[#All],2,FALSE),"rood",IF(G$1&lt;VLOOKUP($A13,kritische_breedtes[#All],3,FALSE),"geel","groen"))</f>
        <v>groen</v>
      </c>
      <c r="H13" t="str">
        <f>IF(H$1&lt;VLOOKUP($A13,kritische_breedtes[#All],2,FALSE),"rood",IF(H$1&lt;VLOOKUP($A13,kritische_breedtes[#All],3,FALSE),"geel","groen"))</f>
        <v>groen</v>
      </c>
      <c r="I13" t="str">
        <f>IF(I$1&lt;VLOOKUP($A13,kritische_breedtes[#All],2,FALSE),"rood",IF(I$1&lt;VLOOKUP($A13,kritische_breedtes[#All],3,FALSE),"geel","groen"))</f>
        <v>groen</v>
      </c>
      <c r="J13" t="str">
        <f>IF(J$1&lt;VLOOKUP($A13,kritische_breedtes[#All],2,FALSE),"rood",IF(J$1&lt;VLOOKUP($A13,kritische_breedtes[#All],3,FALSE),"geel","groen"))</f>
        <v>groen</v>
      </c>
      <c r="K13" t="str">
        <f>IF(K$1&lt;VLOOKUP($A13,kritische_breedtes[#All],2,FALSE),"rood",IF(K$1&lt;VLOOKUP($A13,kritische_breedtes[#All],3,FALSE),"geel","groen"))</f>
        <v>groen</v>
      </c>
      <c r="L13" t="str">
        <f>IF(L$1&lt;VLOOKUP($A13,kritische_breedtes[#All],2,FALSE),"rood",IF(L$1&lt;VLOOKUP($A13,kritische_breedtes[#All],3,FALSE),"geel","groen"))</f>
        <v>groen</v>
      </c>
      <c r="M13" t="str">
        <f>IF(M$1&lt;VLOOKUP($A13,kritische_breedtes[#All],2,FALSE),"rood",IF(M$1&lt;VLOOKUP($A13,kritische_breedtes[#All],3,FALSE),"geel","groen"))</f>
        <v>groen</v>
      </c>
      <c r="N13" t="str">
        <f>IF(N$1&lt;VLOOKUP($A13,kritische_breedtes[#All],2,FALSE),"rood",IF(N$1&lt;VLOOKUP($A13,kritische_breedtes[#All],3,FALSE),"geel","groen"))</f>
        <v>groen</v>
      </c>
      <c r="O13" t="str">
        <f>IF(O$1&lt;VLOOKUP($A13,kritische_breedtes[#All],2,FALSE),"rood",IF(O$1&lt;VLOOKUP($A13,kritische_breedtes[#All],3,FALSE),"geel","groen"))</f>
        <v>groen</v>
      </c>
      <c r="P13" t="str">
        <f>IF(P$1&lt;VLOOKUP($A13,kritische_breedtes[#All],2,FALSE),"rood",IF(P$1&lt;VLOOKUP($A13,kritische_breedtes[#All],3,FALSE),"geel","groen"))</f>
        <v>groen</v>
      </c>
      <c r="Q13" t="str">
        <f>IF(Q$1&lt;VLOOKUP($A13,kritische_breedtes[#All],2,FALSE),"rood",IF(Q$1&lt;VLOOKUP($A13,kritische_breedtes[#All],3,FALSE),"geel","groen"))</f>
        <v>groen</v>
      </c>
      <c r="R13" t="str">
        <f>IF(R$1&lt;VLOOKUP($A13,kritische_breedtes[#All],2,FALSE),"rood",IF(R$1&lt;VLOOKUP($A13,kritische_breedtes[#All],3,FALSE),"geel","groen"))</f>
        <v>groen</v>
      </c>
      <c r="S13" t="str">
        <f>IF(S$1&lt;VLOOKUP($A13,kritische_breedtes[#All],2,FALSE),"rood",IF(S$1&lt;VLOOKUP($A13,kritische_breedtes[#All],3,FALSE),"geel","groen"))</f>
        <v>groen</v>
      </c>
      <c r="T13" t="str">
        <f>IF(T$1&lt;VLOOKUP($A13,kritische_breedtes[#All],2,FALSE),"rood",IF(T$1&lt;VLOOKUP($A13,kritische_breedtes[#All],3,FALSE),"geel","groen"))</f>
        <v>groen</v>
      </c>
      <c r="U13" t="str">
        <f>IF(U$1&lt;VLOOKUP($A13,kritische_breedtes[#All],2,FALSE),"rood",IF(U$1&lt;VLOOKUP($A13,kritische_breedtes[#All],3,FALSE),"geel","groen"))</f>
        <v>groen</v>
      </c>
      <c r="V13" t="str">
        <f>IF(V$1&lt;VLOOKUP($A13,kritische_breedtes[#All],2,FALSE),"rood",IF(V$1&lt;VLOOKUP($A13,kritische_breedtes[#All],3,FALSE),"geel","groen"))</f>
        <v>groen</v>
      </c>
      <c r="W13" t="str">
        <f>IF(W$1&lt;VLOOKUP($A13,kritische_breedtes[#All],2,FALSE),"rood",IF(W$1&lt;VLOOKUP($A13,kritische_breedtes[#All],3,FALSE),"geel","groen"))</f>
        <v>groen</v>
      </c>
      <c r="X13" t="str">
        <f>IF(X$1&lt;VLOOKUP($A13,kritische_breedtes[#All],2,FALSE),"rood",IF(X$1&lt;VLOOKUP($A13,kritische_breedtes[#All],3,FALSE),"geel","groen"))</f>
        <v>groen</v>
      </c>
      <c r="Y13" t="str">
        <f>IF(Y$1&lt;VLOOKUP($A13,kritische_breedtes[#All],2,FALSE),"rood",IF(Y$1&lt;VLOOKUP($A13,kritische_breedtes[#All],3,FALSE),"geel","groen"))</f>
        <v>groen</v>
      </c>
      <c r="Z13" t="str">
        <f>IF(Z$1&lt;VLOOKUP($A13,kritische_breedtes[#All],2,FALSE),"rood",IF(Z$1&lt;VLOOKUP($A13,kritische_breedtes[#All],3,FALSE),"geel","groen"))</f>
        <v>groen</v>
      </c>
      <c r="AA13" t="str">
        <f>IF(AA$1&lt;VLOOKUP($A13,kritische_breedtes[#All],2,FALSE),"rood",IF(AA$1&lt;VLOOKUP($A13,kritische_breedtes[#All],3,FALSE),"geel","groen"))</f>
        <v>groen</v>
      </c>
      <c r="AB13" t="str">
        <f>IF(AB$1&lt;VLOOKUP($A13,kritische_breedtes[#All],2,FALSE),"rood",IF(AB$1&lt;VLOOKUP($A13,kritische_breedtes[#All],3,FALSE),"geel","groen"))</f>
        <v>groen</v>
      </c>
      <c r="AC13" t="str">
        <f>IF(AC$1&lt;VLOOKUP($A13,kritische_breedtes[#All],2,FALSE),"rood",IF(AC$1&lt;VLOOKUP($A13,kritische_breedtes[#All],3,FALSE),"geel","groen"))</f>
        <v>groen</v>
      </c>
      <c r="AD13" t="str">
        <f>IF(AD$1&lt;VLOOKUP($A13,kritische_breedtes[#All],2,FALSE),"rood",IF(AD$1&lt;VLOOKUP($A13,kritische_breedtes[#All],3,FALSE),"geel","groen"))</f>
        <v>groen</v>
      </c>
    </row>
    <row r="14" spans="1:38">
      <c r="A14" t="s">
        <v>105</v>
      </c>
      <c r="B14">
        <f>B10*duofietsers_var2*vrachtverkeer_var2</f>
        <v>1.433287664799253</v>
      </c>
      <c r="C14" t="str">
        <f>IF(C$1&lt;VLOOKUP($A14,kritische_breedtes[#All],2,FALSE),"rood",IF(C$1&lt;VLOOKUP($A14,kritische_breedtes[#All],3,FALSE),"geel","groen"))</f>
        <v>rood</v>
      </c>
      <c r="D14" t="str">
        <f>IF(D$1&lt;VLOOKUP($A14,kritische_breedtes[#All],2,FALSE),"rood",IF(D$1&lt;VLOOKUP($A14,kritische_breedtes[#All],3,FALSE),"geel","groen"))</f>
        <v>rood</v>
      </c>
      <c r="E14" t="str">
        <f>IF(E$1&lt;VLOOKUP($A14,kritische_breedtes[#All],2,FALSE),"rood",IF(E$1&lt;VLOOKUP($A14,kritische_breedtes[#All],3,FALSE),"geel","groen"))</f>
        <v>rood</v>
      </c>
      <c r="F14" t="str">
        <f>IF(F$1&lt;VLOOKUP($A14,kritische_breedtes[#All],2,FALSE),"rood",IF(F$1&lt;VLOOKUP($A14,kritische_breedtes[#All],3,FALSE),"geel","groen"))</f>
        <v>geel</v>
      </c>
      <c r="G14" t="str">
        <f>IF(G$1&lt;VLOOKUP($A14,kritische_breedtes[#All],2,FALSE),"rood",IF(G$1&lt;VLOOKUP($A14,kritische_breedtes[#All],3,FALSE),"geel","groen"))</f>
        <v>geel</v>
      </c>
      <c r="H14" t="str">
        <f>IF(H$1&lt;VLOOKUP($A14,kritische_breedtes[#All],2,FALSE),"rood",IF(H$1&lt;VLOOKUP($A14,kritische_breedtes[#All],3,FALSE),"geel","groen"))</f>
        <v>geel</v>
      </c>
      <c r="I14" t="str">
        <f>IF(I$1&lt;VLOOKUP($A14,kritische_breedtes[#All],2,FALSE),"rood",IF(I$1&lt;VLOOKUP($A14,kritische_breedtes[#All],3,FALSE),"geel","groen"))</f>
        <v>geel</v>
      </c>
      <c r="J14" t="str">
        <f>IF(J$1&lt;VLOOKUP($A14,kritische_breedtes[#All],2,FALSE),"rood",IF(J$1&lt;VLOOKUP($A14,kritische_breedtes[#All],3,FALSE),"geel","groen"))</f>
        <v>geel</v>
      </c>
      <c r="K14" t="str">
        <f>IF(K$1&lt;VLOOKUP($A14,kritische_breedtes[#All],2,FALSE),"rood",IF(K$1&lt;VLOOKUP($A14,kritische_breedtes[#All],3,FALSE),"geel","groen"))</f>
        <v>groen</v>
      </c>
      <c r="L14" t="str">
        <f>IF(L$1&lt;VLOOKUP($A14,kritische_breedtes[#All],2,FALSE),"rood",IF(L$1&lt;VLOOKUP($A14,kritische_breedtes[#All],3,FALSE),"geel","groen"))</f>
        <v>groen</v>
      </c>
      <c r="M14" t="str">
        <f>IF(M$1&lt;VLOOKUP($A14,kritische_breedtes[#All],2,FALSE),"rood",IF(M$1&lt;VLOOKUP($A14,kritische_breedtes[#All],3,FALSE),"geel","groen"))</f>
        <v>groen</v>
      </c>
      <c r="N14" t="str">
        <f>IF(N$1&lt;VLOOKUP($A14,kritische_breedtes[#All],2,FALSE),"rood",IF(N$1&lt;VLOOKUP($A14,kritische_breedtes[#All],3,FALSE),"geel","groen"))</f>
        <v>groen</v>
      </c>
      <c r="O14" t="str">
        <f>IF(O$1&lt;VLOOKUP($A14,kritische_breedtes[#All],2,FALSE),"rood",IF(O$1&lt;VLOOKUP($A14,kritische_breedtes[#All],3,FALSE),"geel","groen"))</f>
        <v>groen</v>
      </c>
      <c r="P14" t="str">
        <f>IF(P$1&lt;VLOOKUP($A14,kritische_breedtes[#All],2,FALSE),"rood",IF(P$1&lt;VLOOKUP($A14,kritische_breedtes[#All],3,FALSE),"geel","groen"))</f>
        <v>groen</v>
      </c>
      <c r="Q14" t="str">
        <f>IF(Q$1&lt;VLOOKUP($A14,kritische_breedtes[#All],2,FALSE),"rood",IF(Q$1&lt;VLOOKUP($A14,kritische_breedtes[#All],3,FALSE),"geel","groen"))</f>
        <v>groen</v>
      </c>
      <c r="R14" t="str">
        <f>IF(R$1&lt;VLOOKUP($A14,kritische_breedtes[#All],2,FALSE),"rood",IF(R$1&lt;VLOOKUP($A14,kritische_breedtes[#All],3,FALSE),"geel","groen"))</f>
        <v>groen</v>
      </c>
      <c r="S14" t="str">
        <f>IF(S$1&lt;VLOOKUP($A14,kritische_breedtes[#All],2,FALSE),"rood",IF(S$1&lt;VLOOKUP($A14,kritische_breedtes[#All],3,FALSE),"geel","groen"))</f>
        <v>groen</v>
      </c>
      <c r="T14" t="str">
        <f>IF(T$1&lt;VLOOKUP($A14,kritische_breedtes[#All],2,FALSE),"rood",IF(T$1&lt;VLOOKUP($A14,kritische_breedtes[#All],3,FALSE),"geel","groen"))</f>
        <v>groen</v>
      </c>
      <c r="U14" t="str">
        <f>IF(U$1&lt;VLOOKUP($A14,kritische_breedtes[#All],2,FALSE),"rood",IF(U$1&lt;VLOOKUP($A14,kritische_breedtes[#All],3,FALSE),"geel","groen"))</f>
        <v>groen</v>
      </c>
      <c r="V14" t="str">
        <f>IF(V$1&lt;VLOOKUP($A14,kritische_breedtes[#All],2,FALSE),"rood",IF(V$1&lt;VLOOKUP($A14,kritische_breedtes[#All],3,FALSE),"geel","groen"))</f>
        <v>groen</v>
      </c>
      <c r="W14" t="str">
        <f>IF(W$1&lt;VLOOKUP($A14,kritische_breedtes[#All],2,FALSE),"rood",IF(W$1&lt;VLOOKUP($A14,kritische_breedtes[#All],3,FALSE),"geel","groen"))</f>
        <v>groen</v>
      </c>
      <c r="X14" t="str">
        <f>IF(X$1&lt;VLOOKUP($A14,kritische_breedtes[#All],2,FALSE),"rood",IF(X$1&lt;VLOOKUP($A14,kritische_breedtes[#All],3,FALSE),"geel","groen"))</f>
        <v>groen</v>
      </c>
      <c r="Y14" t="str">
        <f>IF(Y$1&lt;VLOOKUP($A14,kritische_breedtes[#All],2,FALSE),"rood",IF(Y$1&lt;VLOOKUP($A14,kritische_breedtes[#All],3,FALSE),"geel","groen"))</f>
        <v>groen</v>
      </c>
      <c r="Z14" t="str">
        <f>IF(Z$1&lt;VLOOKUP($A14,kritische_breedtes[#All],2,FALSE),"rood",IF(Z$1&lt;VLOOKUP($A14,kritische_breedtes[#All],3,FALSE),"geel","groen"))</f>
        <v>groen</v>
      </c>
      <c r="AA14" t="str">
        <f>IF(AA$1&lt;VLOOKUP($A14,kritische_breedtes[#All],2,FALSE),"rood",IF(AA$1&lt;VLOOKUP($A14,kritische_breedtes[#All],3,FALSE),"geel","groen"))</f>
        <v>groen</v>
      </c>
      <c r="AB14" t="str">
        <f>IF(AB$1&lt;VLOOKUP($A14,kritische_breedtes[#All],2,FALSE),"rood",IF(AB$1&lt;VLOOKUP($A14,kritische_breedtes[#All],3,FALSE),"geel","groen"))</f>
        <v>groen</v>
      </c>
      <c r="AC14" t="str">
        <f>IF(AC$1&lt;VLOOKUP($A14,kritische_breedtes[#All],2,FALSE),"rood",IF(AC$1&lt;VLOOKUP($A14,kritische_breedtes[#All],3,FALSE),"geel","groen"))</f>
        <v>groen</v>
      </c>
      <c r="AD14" t="str">
        <f>IF(AD$1&lt;VLOOKUP($A14,kritische_breedtes[#All],2,FALSE),"rood",IF(AD$1&lt;VLOOKUP($A14,kritische_breedtes[#All],3,FALSE),"geel","groen"))</f>
        <v>groen</v>
      </c>
    </row>
    <row r="16" spans="1:38">
      <c r="A16" t="s">
        <v>185</v>
      </c>
      <c r="B16">
        <f>MAX(0,i_fiets_sec_ri1_var2*i_auto_sec_ri1_var2*(t_fiets_var2-t_auto_var2)*i_fiets_sec_ri2_var2*t_inhalen*periode+i_fiets_sec_ri2_var2*i_auto_sec_ri2_var2*(t_fiets_var2-t_auto_var2)*i_fiets_sec_ri1_var2*t_inhalen*periode-B32)</f>
        <v>72.824421568627429</v>
      </c>
    </row>
    <row r="17" spans="1:30">
      <c r="A17" t="s">
        <v>88</v>
      </c>
      <c r="B17">
        <f>B16*(1-duofietsers_var2)*(1-vrachtverkeer_var2)*(1-duofietsers_var2)</f>
        <v>57.808025841176452</v>
      </c>
      <c r="C17" t="str">
        <f>IF(C$1&lt;VLOOKUP($A17,kritische_breedtes[#All],2,FALSE),"rood",IF(C$1&lt;VLOOKUP($A17,kritische_breedtes[#All],3,FALSE),"geel","groen"))</f>
        <v>rood</v>
      </c>
      <c r="D17" t="str">
        <f>IF(D$1&lt;VLOOKUP($A17,kritische_breedtes[#All],2,FALSE),"rood",IF(D$1&lt;VLOOKUP($A17,kritische_breedtes[#All],3,FALSE),"geel","groen"))</f>
        <v>rood</v>
      </c>
      <c r="E17" t="str">
        <f>IF(E$1&lt;VLOOKUP($A17,kritische_breedtes[#All],2,FALSE),"rood",IF(E$1&lt;VLOOKUP($A17,kritische_breedtes[#All],3,FALSE),"geel","groen"))</f>
        <v>rood</v>
      </c>
      <c r="F17" t="str">
        <f>IF(F$1&lt;VLOOKUP($A17,kritische_breedtes[#All],2,FALSE),"rood",IF(F$1&lt;VLOOKUP($A17,kritische_breedtes[#All],3,FALSE),"geel","groen"))</f>
        <v>rood</v>
      </c>
      <c r="G17" t="str">
        <f>IF(G$1&lt;VLOOKUP($A17,kritische_breedtes[#All],2,FALSE),"rood",IF(G$1&lt;VLOOKUP($A17,kritische_breedtes[#All],3,FALSE),"geel","groen"))</f>
        <v>geel</v>
      </c>
      <c r="H17" t="str">
        <f>IF(H$1&lt;VLOOKUP($A17,kritische_breedtes[#All],2,FALSE),"rood",IF(H$1&lt;VLOOKUP($A17,kritische_breedtes[#All],3,FALSE),"geel","groen"))</f>
        <v>geel</v>
      </c>
      <c r="I17" t="str">
        <f>IF(I$1&lt;VLOOKUP($A17,kritische_breedtes[#All],2,FALSE),"rood",IF(I$1&lt;VLOOKUP($A17,kritische_breedtes[#All],3,FALSE),"geel","groen"))</f>
        <v>geel</v>
      </c>
      <c r="J17" t="str">
        <f>IF(J$1&lt;VLOOKUP($A17,kritische_breedtes[#All],2,FALSE),"rood",IF(J$1&lt;VLOOKUP($A17,kritische_breedtes[#All],3,FALSE),"geel","groen"))</f>
        <v>geel</v>
      </c>
      <c r="K17" t="str">
        <f>IF(K$1&lt;VLOOKUP($A17,kritische_breedtes[#All],2,FALSE),"rood",IF(K$1&lt;VLOOKUP($A17,kritische_breedtes[#All],3,FALSE),"geel","groen"))</f>
        <v>groen</v>
      </c>
      <c r="L17" t="str">
        <f>IF(L$1&lt;VLOOKUP($A17,kritische_breedtes[#All],2,FALSE),"rood",IF(L$1&lt;VLOOKUP($A17,kritische_breedtes[#All],3,FALSE),"geel","groen"))</f>
        <v>groen</v>
      </c>
      <c r="M17" t="str">
        <f>IF(M$1&lt;VLOOKUP($A17,kritische_breedtes[#All],2,FALSE),"rood",IF(M$1&lt;VLOOKUP($A17,kritische_breedtes[#All],3,FALSE),"geel","groen"))</f>
        <v>groen</v>
      </c>
      <c r="N17" t="str">
        <f>IF(N$1&lt;VLOOKUP($A17,kritische_breedtes[#All],2,FALSE),"rood",IF(N$1&lt;VLOOKUP($A17,kritische_breedtes[#All],3,FALSE),"geel","groen"))</f>
        <v>groen</v>
      </c>
      <c r="O17" t="str">
        <f>IF(O$1&lt;VLOOKUP($A17,kritische_breedtes[#All],2,FALSE),"rood",IF(O$1&lt;VLOOKUP($A17,kritische_breedtes[#All],3,FALSE),"geel","groen"))</f>
        <v>groen</v>
      </c>
      <c r="P17" t="str">
        <f>IF(P$1&lt;VLOOKUP($A17,kritische_breedtes[#All],2,FALSE),"rood",IF(P$1&lt;VLOOKUP($A17,kritische_breedtes[#All],3,FALSE),"geel","groen"))</f>
        <v>groen</v>
      </c>
      <c r="Q17" t="str">
        <f>IF(Q$1&lt;VLOOKUP($A17,kritische_breedtes[#All],2,FALSE),"rood",IF(Q$1&lt;VLOOKUP($A17,kritische_breedtes[#All],3,FALSE),"geel","groen"))</f>
        <v>groen</v>
      </c>
      <c r="R17" t="str">
        <f>IF(R$1&lt;VLOOKUP($A17,kritische_breedtes[#All],2,FALSE),"rood",IF(R$1&lt;VLOOKUP($A17,kritische_breedtes[#All],3,FALSE),"geel","groen"))</f>
        <v>groen</v>
      </c>
      <c r="S17" t="str">
        <f>IF(S$1&lt;VLOOKUP($A17,kritische_breedtes[#All],2,FALSE),"rood",IF(S$1&lt;VLOOKUP($A17,kritische_breedtes[#All],3,FALSE),"geel","groen"))</f>
        <v>groen</v>
      </c>
      <c r="T17" t="str">
        <f>IF(T$1&lt;VLOOKUP($A17,kritische_breedtes[#All],2,FALSE),"rood",IF(T$1&lt;VLOOKUP($A17,kritische_breedtes[#All],3,FALSE),"geel","groen"))</f>
        <v>groen</v>
      </c>
      <c r="U17" t="str">
        <f>IF(U$1&lt;VLOOKUP($A17,kritische_breedtes[#All],2,FALSE),"rood",IF(U$1&lt;VLOOKUP($A17,kritische_breedtes[#All],3,FALSE),"geel","groen"))</f>
        <v>groen</v>
      </c>
      <c r="V17" t="str">
        <f>IF(V$1&lt;VLOOKUP($A17,kritische_breedtes[#All],2,FALSE),"rood",IF(V$1&lt;VLOOKUP($A17,kritische_breedtes[#All],3,FALSE),"geel","groen"))</f>
        <v>groen</v>
      </c>
      <c r="W17" t="str">
        <f>IF(W$1&lt;VLOOKUP($A17,kritische_breedtes[#All],2,FALSE),"rood",IF(W$1&lt;VLOOKUP($A17,kritische_breedtes[#All],3,FALSE),"geel","groen"))</f>
        <v>groen</v>
      </c>
      <c r="X17" t="str">
        <f>IF(X$1&lt;VLOOKUP($A17,kritische_breedtes[#All],2,FALSE),"rood",IF(X$1&lt;VLOOKUP($A17,kritische_breedtes[#All],3,FALSE),"geel","groen"))</f>
        <v>groen</v>
      </c>
      <c r="Y17" t="str">
        <f>IF(Y$1&lt;VLOOKUP($A17,kritische_breedtes[#All],2,FALSE),"rood",IF(Y$1&lt;VLOOKUP($A17,kritische_breedtes[#All],3,FALSE),"geel","groen"))</f>
        <v>groen</v>
      </c>
      <c r="Z17" t="str">
        <f>IF(Z$1&lt;VLOOKUP($A17,kritische_breedtes[#All],2,FALSE),"rood",IF(Z$1&lt;VLOOKUP($A17,kritische_breedtes[#All],3,FALSE),"geel","groen"))</f>
        <v>groen</v>
      </c>
      <c r="AA17" t="str">
        <f>IF(AA$1&lt;VLOOKUP($A17,kritische_breedtes[#All],2,FALSE),"rood",IF(AA$1&lt;VLOOKUP($A17,kritische_breedtes[#All],3,FALSE),"geel","groen"))</f>
        <v>groen</v>
      </c>
      <c r="AB17" t="str">
        <f>IF(AB$1&lt;VLOOKUP($A17,kritische_breedtes[#All],2,FALSE),"rood",IF(AB$1&lt;VLOOKUP($A17,kritische_breedtes[#All],3,FALSE),"geel","groen"))</f>
        <v>groen</v>
      </c>
      <c r="AC17" t="str">
        <f>IF(AC$1&lt;VLOOKUP($A17,kritische_breedtes[#All],2,FALSE),"rood",IF(AC$1&lt;VLOOKUP($A17,kritische_breedtes[#All],3,FALSE),"geel","groen"))</f>
        <v>groen</v>
      </c>
      <c r="AD17" t="str">
        <f>IF(AD$1&lt;VLOOKUP($A17,kritische_breedtes[#All],2,FALSE),"rood",IF(AD$1&lt;VLOOKUP($A17,kritische_breedtes[#All],3,FALSE),"geel","groen"))</f>
        <v>groen</v>
      </c>
    </row>
    <row r="18" spans="1:30">
      <c r="A18" t="s">
        <v>94</v>
      </c>
      <c r="B18">
        <f>B16*duofietsers_var2*(1-vrachtverkeer_var2)*(1-duofietsers_var2)+B16*(1-duofietsers_var2)*(1-vrachtverkeer_var2)*duofietsers_var2</f>
        <v>12.846227964705879</v>
      </c>
      <c r="C18" t="str">
        <f>IF(C$1&lt;VLOOKUP($A18,kritische_breedtes[#All],2,FALSE),"rood",IF(C$1&lt;VLOOKUP($A18,kritische_breedtes[#All],3,FALSE),"geel","groen"))</f>
        <v>rood</v>
      </c>
      <c r="D18" t="str">
        <f>IF(D$1&lt;VLOOKUP($A18,kritische_breedtes[#All],2,FALSE),"rood",IF(D$1&lt;VLOOKUP($A18,kritische_breedtes[#All],3,FALSE),"geel","groen"))</f>
        <v>rood</v>
      </c>
      <c r="E18" t="str">
        <f>IF(E$1&lt;VLOOKUP($A18,kritische_breedtes[#All],2,FALSE),"rood",IF(E$1&lt;VLOOKUP($A18,kritische_breedtes[#All],3,FALSE),"geel","groen"))</f>
        <v>rood</v>
      </c>
      <c r="F18" t="str">
        <f>IF(F$1&lt;VLOOKUP($A18,kritische_breedtes[#All],2,FALSE),"rood",IF(F$1&lt;VLOOKUP($A18,kritische_breedtes[#All],3,FALSE),"geel","groen"))</f>
        <v>rood</v>
      </c>
      <c r="G18" t="str">
        <f>IF(G$1&lt;VLOOKUP($A18,kritische_breedtes[#All],2,FALSE),"rood",IF(G$1&lt;VLOOKUP($A18,kritische_breedtes[#All],3,FALSE),"geel","groen"))</f>
        <v>rood</v>
      </c>
      <c r="H18" t="str">
        <f>IF(H$1&lt;VLOOKUP($A18,kritische_breedtes[#All],2,FALSE),"rood",IF(H$1&lt;VLOOKUP($A18,kritische_breedtes[#All],3,FALSE),"geel","groen"))</f>
        <v>rood</v>
      </c>
      <c r="I18" t="str">
        <f>IF(I$1&lt;VLOOKUP($A18,kritische_breedtes[#All],2,FALSE),"rood",IF(I$1&lt;VLOOKUP($A18,kritische_breedtes[#All],3,FALSE),"geel","groen"))</f>
        <v>rood</v>
      </c>
      <c r="J18" t="str">
        <f>IF(J$1&lt;VLOOKUP($A18,kritische_breedtes[#All],2,FALSE),"rood",IF(J$1&lt;VLOOKUP($A18,kritische_breedtes[#All],3,FALSE),"geel","groen"))</f>
        <v>geel</v>
      </c>
      <c r="K18" t="str">
        <f>IF(K$1&lt;VLOOKUP($A18,kritische_breedtes[#All],2,FALSE),"rood",IF(K$1&lt;VLOOKUP($A18,kritische_breedtes[#All],3,FALSE),"geel","groen"))</f>
        <v>geel</v>
      </c>
      <c r="L18" t="str">
        <f>IF(L$1&lt;VLOOKUP($A18,kritische_breedtes[#All],2,FALSE),"rood",IF(L$1&lt;VLOOKUP($A18,kritische_breedtes[#All],3,FALSE),"geel","groen"))</f>
        <v>geel</v>
      </c>
      <c r="M18" t="str">
        <f>IF(M$1&lt;VLOOKUP($A18,kritische_breedtes[#All],2,FALSE),"rood",IF(M$1&lt;VLOOKUP($A18,kritische_breedtes[#All],3,FALSE),"geel","groen"))</f>
        <v>geel</v>
      </c>
      <c r="N18" t="str">
        <f>IF(N$1&lt;VLOOKUP($A18,kritische_breedtes[#All],2,FALSE),"rood",IF(N$1&lt;VLOOKUP($A18,kritische_breedtes[#All],3,FALSE),"geel","groen"))</f>
        <v>geel</v>
      </c>
      <c r="O18" t="str">
        <f>IF(O$1&lt;VLOOKUP($A18,kritische_breedtes[#All],2,FALSE),"rood",IF(O$1&lt;VLOOKUP($A18,kritische_breedtes[#All],3,FALSE),"geel","groen"))</f>
        <v>groen</v>
      </c>
      <c r="P18" t="str">
        <f>IF(P$1&lt;VLOOKUP($A18,kritische_breedtes[#All],2,FALSE),"rood",IF(P$1&lt;VLOOKUP($A18,kritische_breedtes[#All],3,FALSE),"geel","groen"))</f>
        <v>groen</v>
      </c>
      <c r="Q18" t="str">
        <f>IF(Q$1&lt;VLOOKUP($A18,kritische_breedtes[#All],2,FALSE),"rood",IF(Q$1&lt;VLOOKUP($A18,kritische_breedtes[#All],3,FALSE),"geel","groen"))</f>
        <v>groen</v>
      </c>
      <c r="R18" t="str">
        <f>IF(R$1&lt;VLOOKUP($A18,kritische_breedtes[#All],2,FALSE),"rood",IF(R$1&lt;VLOOKUP($A18,kritische_breedtes[#All],3,FALSE),"geel","groen"))</f>
        <v>groen</v>
      </c>
      <c r="S18" t="str">
        <f>IF(S$1&lt;VLOOKUP($A18,kritische_breedtes[#All],2,FALSE),"rood",IF(S$1&lt;VLOOKUP($A18,kritische_breedtes[#All],3,FALSE),"geel","groen"))</f>
        <v>groen</v>
      </c>
      <c r="T18" t="str">
        <f>IF(T$1&lt;VLOOKUP($A18,kritische_breedtes[#All],2,FALSE),"rood",IF(T$1&lt;VLOOKUP($A18,kritische_breedtes[#All],3,FALSE),"geel","groen"))</f>
        <v>groen</v>
      </c>
      <c r="U18" t="str">
        <f>IF(U$1&lt;VLOOKUP($A18,kritische_breedtes[#All],2,FALSE),"rood",IF(U$1&lt;VLOOKUP($A18,kritische_breedtes[#All],3,FALSE),"geel","groen"))</f>
        <v>groen</v>
      </c>
      <c r="V18" t="str">
        <f>IF(V$1&lt;VLOOKUP($A18,kritische_breedtes[#All],2,FALSE),"rood",IF(V$1&lt;VLOOKUP($A18,kritische_breedtes[#All],3,FALSE),"geel","groen"))</f>
        <v>groen</v>
      </c>
      <c r="W18" t="str">
        <f>IF(W$1&lt;VLOOKUP($A18,kritische_breedtes[#All],2,FALSE),"rood",IF(W$1&lt;VLOOKUP($A18,kritische_breedtes[#All],3,FALSE),"geel","groen"))</f>
        <v>groen</v>
      </c>
      <c r="X18" t="str">
        <f>IF(X$1&lt;VLOOKUP($A18,kritische_breedtes[#All],2,FALSE),"rood",IF(X$1&lt;VLOOKUP($A18,kritische_breedtes[#All],3,FALSE),"geel","groen"))</f>
        <v>groen</v>
      </c>
      <c r="Y18" t="str">
        <f>IF(Y$1&lt;VLOOKUP($A18,kritische_breedtes[#All],2,FALSE),"rood",IF(Y$1&lt;VLOOKUP($A18,kritische_breedtes[#All],3,FALSE),"geel","groen"))</f>
        <v>groen</v>
      </c>
      <c r="Z18" t="str">
        <f>IF(Z$1&lt;VLOOKUP($A18,kritische_breedtes[#All],2,FALSE),"rood",IF(Z$1&lt;VLOOKUP($A18,kritische_breedtes[#All],3,FALSE),"geel","groen"))</f>
        <v>groen</v>
      </c>
      <c r="AA18" t="str">
        <f>IF(AA$1&lt;VLOOKUP($A18,kritische_breedtes[#All],2,FALSE),"rood",IF(AA$1&lt;VLOOKUP($A18,kritische_breedtes[#All],3,FALSE),"geel","groen"))</f>
        <v>groen</v>
      </c>
      <c r="AB18" t="str">
        <f>IF(AB$1&lt;VLOOKUP($A18,kritische_breedtes[#All],2,FALSE),"rood",IF(AB$1&lt;VLOOKUP($A18,kritische_breedtes[#All],3,FALSE),"geel","groen"))</f>
        <v>groen</v>
      </c>
      <c r="AC18" t="str">
        <f>IF(AC$1&lt;VLOOKUP($A18,kritische_breedtes[#All],2,FALSE),"rood",IF(AC$1&lt;VLOOKUP($A18,kritische_breedtes[#All],3,FALSE),"geel","groen"))</f>
        <v>groen</v>
      </c>
      <c r="AD18" t="str">
        <f>IF(AD$1&lt;VLOOKUP($A18,kritische_breedtes[#All],2,FALSE),"rood",IF(AD$1&lt;VLOOKUP($A18,kritische_breedtes[#All],3,FALSE),"geel","groen"))</f>
        <v>groen</v>
      </c>
    </row>
    <row r="19" spans="1:30">
      <c r="A19" t="s">
        <v>101</v>
      </c>
      <c r="B19">
        <f>B16*(1-duofietsers_var2)*vrachtverkeer_var2*(1-duofietsers_var2)</f>
        <v>1.1797556294117644</v>
      </c>
      <c r="C19" t="str">
        <f>IF(C$1&lt;VLOOKUP($A19,kritische_breedtes[#All],2,FALSE),"rood",IF(C$1&lt;VLOOKUP($A19,kritische_breedtes[#All],3,FALSE),"geel","groen"))</f>
        <v>rood</v>
      </c>
      <c r="D19" t="str">
        <f>IF(D$1&lt;VLOOKUP($A19,kritische_breedtes[#All],2,FALSE),"rood",IF(D$1&lt;VLOOKUP($A19,kritische_breedtes[#All],3,FALSE),"geel","groen"))</f>
        <v>rood</v>
      </c>
      <c r="E19" t="str">
        <f>IF(E$1&lt;VLOOKUP($A19,kritische_breedtes[#All],2,FALSE),"rood",IF(E$1&lt;VLOOKUP($A19,kritische_breedtes[#All],3,FALSE),"geel","groen"))</f>
        <v>rood</v>
      </c>
      <c r="F19" t="str">
        <f>IF(F$1&lt;VLOOKUP($A19,kritische_breedtes[#All],2,FALSE),"rood",IF(F$1&lt;VLOOKUP($A19,kritische_breedtes[#All],3,FALSE),"geel","groen"))</f>
        <v>rood</v>
      </c>
      <c r="G19" t="str">
        <f>IF(G$1&lt;VLOOKUP($A19,kritische_breedtes[#All],2,FALSE),"rood",IF(G$1&lt;VLOOKUP($A19,kritische_breedtes[#All],3,FALSE),"geel","groen"))</f>
        <v>rood</v>
      </c>
      <c r="H19" t="str">
        <f>IF(H$1&lt;VLOOKUP($A19,kritische_breedtes[#All],2,FALSE),"rood",IF(H$1&lt;VLOOKUP($A19,kritische_breedtes[#All],3,FALSE),"geel","groen"))</f>
        <v>rood</v>
      </c>
      <c r="I19" t="str">
        <f>IF(I$1&lt;VLOOKUP($A19,kritische_breedtes[#All],2,FALSE),"rood",IF(I$1&lt;VLOOKUP($A19,kritische_breedtes[#All],3,FALSE),"geel","groen"))</f>
        <v>rood</v>
      </c>
      <c r="J19" t="str">
        <f>IF(J$1&lt;VLOOKUP($A19,kritische_breedtes[#All],2,FALSE),"rood",IF(J$1&lt;VLOOKUP($A19,kritische_breedtes[#All],3,FALSE),"geel","groen"))</f>
        <v>geel</v>
      </c>
      <c r="K19" t="str">
        <f>IF(K$1&lt;VLOOKUP($A19,kritische_breedtes[#All],2,FALSE),"rood",IF(K$1&lt;VLOOKUP($A19,kritische_breedtes[#All],3,FALSE),"geel","groen"))</f>
        <v>geel</v>
      </c>
      <c r="L19" t="str">
        <f>IF(L$1&lt;VLOOKUP($A19,kritische_breedtes[#All],2,FALSE),"rood",IF(L$1&lt;VLOOKUP($A19,kritische_breedtes[#All],3,FALSE),"geel","groen"))</f>
        <v>geel</v>
      </c>
      <c r="M19" t="str">
        <f>IF(M$1&lt;VLOOKUP($A19,kritische_breedtes[#All],2,FALSE),"rood",IF(M$1&lt;VLOOKUP($A19,kritische_breedtes[#All],3,FALSE),"geel","groen"))</f>
        <v>geel</v>
      </c>
      <c r="N19" t="str">
        <f>IF(N$1&lt;VLOOKUP($A19,kritische_breedtes[#All],2,FALSE),"rood",IF(N$1&lt;VLOOKUP($A19,kritische_breedtes[#All],3,FALSE),"geel","groen"))</f>
        <v>geel</v>
      </c>
      <c r="O19" t="str">
        <f>IF(O$1&lt;VLOOKUP($A19,kritische_breedtes[#All],2,FALSE),"rood",IF(O$1&lt;VLOOKUP($A19,kritische_breedtes[#All],3,FALSE),"geel","groen"))</f>
        <v>groen</v>
      </c>
      <c r="P19" t="str">
        <f>IF(P$1&lt;VLOOKUP($A19,kritische_breedtes[#All],2,FALSE),"rood",IF(P$1&lt;VLOOKUP($A19,kritische_breedtes[#All],3,FALSE),"geel","groen"))</f>
        <v>groen</v>
      </c>
      <c r="Q19" t="str">
        <f>IF(Q$1&lt;VLOOKUP($A19,kritische_breedtes[#All],2,FALSE),"rood",IF(Q$1&lt;VLOOKUP($A19,kritische_breedtes[#All],3,FALSE),"geel","groen"))</f>
        <v>groen</v>
      </c>
      <c r="R19" t="str">
        <f>IF(R$1&lt;VLOOKUP($A19,kritische_breedtes[#All],2,FALSE),"rood",IF(R$1&lt;VLOOKUP($A19,kritische_breedtes[#All],3,FALSE),"geel","groen"))</f>
        <v>groen</v>
      </c>
      <c r="S19" t="str">
        <f>IF(S$1&lt;VLOOKUP($A19,kritische_breedtes[#All],2,FALSE),"rood",IF(S$1&lt;VLOOKUP($A19,kritische_breedtes[#All],3,FALSE),"geel","groen"))</f>
        <v>groen</v>
      </c>
      <c r="T19" t="str">
        <f>IF(T$1&lt;VLOOKUP($A19,kritische_breedtes[#All],2,FALSE),"rood",IF(T$1&lt;VLOOKUP($A19,kritische_breedtes[#All],3,FALSE),"geel","groen"))</f>
        <v>groen</v>
      </c>
      <c r="U19" t="str">
        <f>IF(U$1&lt;VLOOKUP($A19,kritische_breedtes[#All],2,FALSE),"rood",IF(U$1&lt;VLOOKUP($A19,kritische_breedtes[#All],3,FALSE),"geel","groen"))</f>
        <v>groen</v>
      </c>
      <c r="V19" t="str">
        <f>IF(V$1&lt;VLOOKUP($A19,kritische_breedtes[#All],2,FALSE),"rood",IF(V$1&lt;VLOOKUP($A19,kritische_breedtes[#All],3,FALSE),"geel","groen"))</f>
        <v>groen</v>
      </c>
      <c r="W19" t="str">
        <f>IF(W$1&lt;VLOOKUP($A19,kritische_breedtes[#All],2,FALSE),"rood",IF(W$1&lt;VLOOKUP($A19,kritische_breedtes[#All],3,FALSE),"geel","groen"))</f>
        <v>groen</v>
      </c>
      <c r="X19" t="str">
        <f>IF(X$1&lt;VLOOKUP($A19,kritische_breedtes[#All],2,FALSE),"rood",IF(X$1&lt;VLOOKUP($A19,kritische_breedtes[#All],3,FALSE),"geel","groen"))</f>
        <v>groen</v>
      </c>
      <c r="Y19" t="str">
        <f>IF(Y$1&lt;VLOOKUP($A19,kritische_breedtes[#All],2,FALSE),"rood",IF(Y$1&lt;VLOOKUP($A19,kritische_breedtes[#All],3,FALSE),"geel","groen"))</f>
        <v>groen</v>
      </c>
      <c r="Z19" t="str">
        <f>IF(Z$1&lt;VLOOKUP($A19,kritische_breedtes[#All],2,FALSE),"rood",IF(Z$1&lt;VLOOKUP($A19,kritische_breedtes[#All],3,FALSE),"geel","groen"))</f>
        <v>groen</v>
      </c>
      <c r="AA19" t="str">
        <f>IF(AA$1&lt;VLOOKUP($A19,kritische_breedtes[#All],2,FALSE),"rood",IF(AA$1&lt;VLOOKUP($A19,kritische_breedtes[#All],3,FALSE),"geel","groen"))</f>
        <v>groen</v>
      </c>
      <c r="AB19" t="str">
        <f>IF(AB$1&lt;VLOOKUP($A19,kritische_breedtes[#All],2,FALSE),"rood",IF(AB$1&lt;VLOOKUP($A19,kritische_breedtes[#All],3,FALSE),"geel","groen"))</f>
        <v>groen</v>
      </c>
      <c r="AC19" t="str">
        <f>IF(AC$1&lt;VLOOKUP($A19,kritische_breedtes[#All],2,FALSE),"rood",IF(AC$1&lt;VLOOKUP($A19,kritische_breedtes[#All],3,FALSE),"geel","groen"))</f>
        <v>groen</v>
      </c>
      <c r="AD19" t="str">
        <f>IF(AD$1&lt;VLOOKUP($A19,kritische_breedtes[#All],2,FALSE),"rood",IF(AD$1&lt;VLOOKUP($A19,kritische_breedtes[#All],3,FALSE),"geel","groen"))</f>
        <v>groen</v>
      </c>
    </row>
    <row r="20" spans="1:30">
      <c r="A20" t="s">
        <v>107</v>
      </c>
      <c r="B20">
        <f>B16*duofietsers_var2*vrachtverkeer_var2*(1-duofietsers_var2)+B16*(1-duofietsers_var2)*vrachtverkeer_var2*duofietsers_var2</f>
        <v>0.26216791764705877</v>
      </c>
      <c r="C20" t="str">
        <f>IF(C$1&lt;VLOOKUP($A20,kritische_breedtes[#All],2,FALSE),"rood",IF(C$1&lt;VLOOKUP($A20,kritische_breedtes[#All],3,FALSE),"geel","groen"))</f>
        <v>rood</v>
      </c>
      <c r="D20" t="str">
        <f>IF(D$1&lt;VLOOKUP($A20,kritische_breedtes[#All],2,FALSE),"rood",IF(D$1&lt;VLOOKUP($A20,kritische_breedtes[#All],3,FALSE),"geel","groen"))</f>
        <v>rood</v>
      </c>
      <c r="E20" t="str">
        <f>IF(E$1&lt;VLOOKUP($A20,kritische_breedtes[#All],2,FALSE),"rood",IF(E$1&lt;VLOOKUP($A20,kritische_breedtes[#All],3,FALSE),"geel","groen"))</f>
        <v>rood</v>
      </c>
      <c r="F20" t="str">
        <f>IF(F$1&lt;VLOOKUP($A20,kritische_breedtes[#All],2,FALSE),"rood",IF(F$1&lt;VLOOKUP($A20,kritische_breedtes[#All],3,FALSE),"geel","groen"))</f>
        <v>rood</v>
      </c>
      <c r="G20" t="str">
        <f>IF(G$1&lt;VLOOKUP($A20,kritische_breedtes[#All],2,FALSE),"rood",IF(G$1&lt;VLOOKUP($A20,kritische_breedtes[#All],3,FALSE),"geel","groen"))</f>
        <v>rood</v>
      </c>
      <c r="H20" t="str">
        <f>IF(H$1&lt;VLOOKUP($A20,kritische_breedtes[#All],2,FALSE),"rood",IF(H$1&lt;VLOOKUP($A20,kritische_breedtes[#All],3,FALSE),"geel","groen"))</f>
        <v>rood</v>
      </c>
      <c r="I20" t="str">
        <f>IF(I$1&lt;VLOOKUP($A20,kritische_breedtes[#All],2,FALSE),"rood",IF(I$1&lt;VLOOKUP($A20,kritische_breedtes[#All],3,FALSE),"geel","groen"))</f>
        <v>rood</v>
      </c>
      <c r="J20" t="str">
        <f>IF(J$1&lt;VLOOKUP($A20,kritische_breedtes[#All],2,FALSE),"rood",IF(J$1&lt;VLOOKUP($A20,kritische_breedtes[#All],3,FALSE),"geel","groen"))</f>
        <v>rood</v>
      </c>
      <c r="K20" t="str">
        <f>IF(K$1&lt;VLOOKUP($A20,kritische_breedtes[#All],2,FALSE),"rood",IF(K$1&lt;VLOOKUP($A20,kritische_breedtes[#All],3,FALSE),"geel","groen"))</f>
        <v>rood</v>
      </c>
      <c r="L20" t="str">
        <f>IF(L$1&lt;VLOOKUP($A20,kritische_breedtes[#All],2,FALSE),"rood",IF(L$1&lt;VLOOKUP($A20,kritische_breedtes[#All],3,FALSE),"geel","groen"))</f>
        <v>rood</v>
      </c>
      <c r="M20" t="str">
        <f>IF(M$1&lt;VLOOKUP($A20,kritische_breedtes[#All],2,FALSE),"rood",IF(M$1&lt;VLOOKUP($A20,kritische_breedtes[#All],3,FALSE),"geel","groen"))</f>
        <v>rood</v>
      </c>
      <c r="N20" t="str">
        <f>IF(N$1&lt;VLOOKUP($A20,kritische_breedtes[#All],2,FALSE),"rood",IF(N$1&lt;VLOOKUP($A20,kritische_breedtes[#All],3,FALSE),"geel","groen"))</f>
        <v>geel</v>
      </c>
      <c r="O20" t="str">
        <f>IF(O$1&lt;VLOOKUP($A20,kritische_breedtes[#All],2,FALSE),"rood",IF(O$1&lt;VLOOKUP($A20,kritische_breedtes[#All],3,FALSE),"geel","groen"))</f>
        <v>geel</v>
      </c>
      <c r="P20" t="str">
        <f>IF(P$1&lt;VLOOKUP($A20,kritische_breedtes[#All],2,FALSE),"rood",IF(P$1&lt;VLOOKUP($A20,kritische_breedtes[#All],3,FALSE),"geel","groen"))</f>
        <v>geel</v>
      </c>
      <c r="Q20" t="str">
        <f>IF(Q$1&lt;VLOOKUP($A20,kritische_breedtes[#All],2,FALSE),"rood",IF(Q$1&lt;VLOOKUP($A20,kritische_breedtes[#All],3,FALSE),"geel","groen"))</f>
        <v>geel</v>
      </c>
      <c r="R20" t="str">
        <f>IF(R$1&lt;VLOOKUP($A20,kritische_breedtes[#All],2,FALSE),"rood",IF(R$1&lt;VLOOKUP($A20,kritische_breedtes[#All],3,FALSE),"geel","groen"))</f>
        <v>geel</v>
      </c>
      <c r="S20" t="str">
        <f>IF(S$1&lt;VLOOKUP($A20,kritische_breedtes[#All],2,FALSE),"rood",IF(S$1&lt;VLOOKUP($A20,kritische_breedtes[#All],3,FALSE),"geel","groen"))</f>
        <v>groen</v>
      </c>
      <c r="T20" t="str">
        <f>IF(T$1&lt;VLOOKUP($A20,kritische_breedtes[#All],2,FALSE),"rood",IF(T$1&lt;VLOOKUP($A20,kritische_breedtes[#All],3,FALSE),"geel","groen"))</f>
        <v>groen</v>
      </c>
      <c r="U20" t="str">
        <f>IF(U$1&lt;VLOOKUP($A20,kritische_breedtes[#All],2,FALSE),"rood",IF(U$1&lt;VLOOKUP($A20,kritische_breedtes[#All],3,FALSE),"geel","groen"))</f>
        <v>groen</v>
      </c>
      <c r="V20" t="str">
        <f>IF(V$1&lt;VLOOKUP($A20,kritische_breedtes[#All],2,FALSE),"rood",IF(V$1&lt;VLOOKUP($A20,kritische_breedtes[#All],3,FALSE),"geel","groen"))</f>
        <v>groen</v>
      </c>
      <c r="W20" t="str">
        <f>IF(W$1&lt;VLOOKUP($A20,kritische_breedtes[#All],2,FALSE),"rood",IF(W$1&lt;VLOOKUP($A20,kritische_breedtes[#All],3,FALSE),"geel","groen"))</f>
        <v>groen</v>
      </c>
      <c r="X20" t="str">
        <f>IF(X$1&lt;VLOOKUP($A20,kritische_breedtes[#All],2,FALSE),"rood",IF(X$1&lt;VLOOKUP($A20,kritische_breedtes[#All],3,FALSE),"geel","groen"))</f>
        <v>groen</v>
      </c>
      <c r="Y20" t="str">
        <f>IF(Y$1&lt;VLOOKUP($A20,kritische_breedtes[#All],2,FALSE),"rood",IF(Y$1&lt;VLOOKUP($A20,kritische_breedtes[#All],3,FALSE),"geel","groen"))</f>
        <v>groen</v>
      </c>
      <c r="Z20" t="str">
        <f>IF(Z$1&lt;VLOOKUP($A20,kritische_breedtes[#All],2,FALSE),"rood",IF(Z$1&lt;VLOOKUP($A20,kritische_breedtes[#All],3,FALSE),"geel","groen"))</f>
        <v>groen</v>
      </c>
      <c r="AA20" t="str">
        <f>IF(AA$1&lt;VLOOKUP($A20,kritische_breedtes[#All],2,FALSE),"rood",IF(AA$1&lt;VLOOKUP($A20,kritische_breedtes[#All],3,FALSE),"geel","groen"))</f>
        <v>groen</v>
      </c>
      <c r="AB20" t="str">
        <f>IF(AB$1&lt;VLOOKUP($A20,kritische_breedtes[#All],2,FALSE),"rood",IF(AB$1&lt;VLOOKUP($A20,kritische_breedtes[#All],3,FALSE),"geel","groen"))</f>
        <v>groen</v>
      </c>
      <c r="AC20" t="str">
        <f>IF(AC$1&lt;VLOOKUP($A20,kritische_breedtes[#All],2,FALSE),"rood",IF(AC$1&lt;VLOOKUP($A20,kritische_breedtes[#All],3,FALSE),"geel","groen"))</f>
        <v>groen</v>
      </c>
      <c r="AD20" t="str">
        <f>IF(AD$1&lt;VLOOKUP($A20,kritische_breedtes[#All],2,FALSE),"rood",IF(AD$1&lt;VLOOKUP($A20,kritische_breedtes[#All],3,FALSE),"geel","groen"))</f>
        <v>groen</v>
      </c>
    </row>
    <row r="21" spans="1:30">
      <c r="A21" t="s">
        <v>111</v>
      </c>
      <c r="B21">
        <f>B16*duofietsers_var2*(1-vrachtverkeer_var2)*duofietsers_var2</f>
        <v>0.71367933137254891</v>
      </c>
      <c r="C21" t="str">
        <f>IF(C$1&lt;VLOOKUP($A21,kritische_breedtes[#All],2,FALSE),"rood",IF(C$1&lt;VLOOKUP($A21,kritische_breedtes[#All],3,FALSE),"geel","groen"))</f>
        <v>rood</v>
      </c>
      <c r="D21" t="str">
        <f>IF(D$1&lt;VLOOKUP($A21,kritische_breedtes[#All],2,FALSE),"rood",IF(D$1&lt;VLOOKUP($A21,kritische_breedtes[#All],3,FALSE),"geel","groen"))</f>
        <v>rood</v>
      </c>
      <c r="E21" t="str">
        <f>IF(E$1&lt;VLOOKUP($A21,kritische_breedtes[#All],2,FALSE),"rood",IF(E$1&lt;VLOOKUP($A21,kritische_breedtes[#All],3,FALSE),"geel","groen"))</f>
        <v>rood</v>
      </c>
      <c r="F21" t="str">
        <f>IF(F$1&lt;VLOOKUP($A21,kritische_breedtes[#All],2,FALSE),"rood",IF(F$1&lt;VLOOKUP($A21,kritische_breedtes[#All],3,FALSE),"geel","groen"))</f>
        <v>rood</v>
      </c>
      <c r="G21" t="str">
        <f>IF(G$1&lt;VLOOKUP($A21,kritische_breedtes[#All],2,FALSE),"rood",IF(G$1&lt;VLOOKUP($A21,kritische_breedtes[#All],3,FALSE),"geel","groen"))</f>
        <v>rood</v>
      </c>
      <c r="H21" t="str">
        <f>IF(H$1&lt;VLOOKUP($A21,kritische_breedtes[#All],2,FALSE),"rood",IF(H$1&lt;VLOOKUP($A21,kritische_breedtes[#All],3,FALSE),"geel","groen"))</f>
        <v>rood</v>
      </c>
      <c r="I21" t="str">
        <f>IF(I$1&lt;VLOOKUP($A21,kritische_breedtes[#All],2,FALSE),"rood",IF(I$1&lt;VLOOKUP($A21,kritische_breedtes[#All],3,FALSE),"geel","groen"))</f>
        <v>rood</v>
      </c>
      <c r="J21" t="str">
        <f>IF(J$1&lt;VLOOKUP($A21,kritische_breedtes[#All],2,FALSE),"rood",IF(J$1&lt;VLOOKUP($A21,kritische_breedtes[#All],3,FALSE),"geel","groen"))</f>
        <v>rood</v>
      </c>
      <c r="K21" t="str">
        <f>IF(K$1&lt;VLOOKUP($A21,kritische_breedtes[#All],2,FALSE),"rood",IF(K$1&lt;VLOOKUP($A21,kritische_breedtes[#All],3,FALSE),"geel","groen"))</f>
        <v>rood</v>
      </c>
      <c r="L21" t="str">
        <f>IF(L$1&lt;VLOOKUP($A21,kritische_breedtes[#All],2,FALSE),"rood",IF(L$1&lt;VLOOKUP($A21,kritische_breedtes[#All],3,FALSE),"geel","groen"))</f>
        <v>rood</v>
      </c>
      <c r="M21" t="str">
        <f>IF(M$1&lt;VLOOKUP($A21,kritische_breedtes[#All],2,FALSE),"rood",IF(M$1&lt;VLOOKUP($A21,kritische_breedtes[#All],3,FALSE),"geel","groen"))</f>
        <v>rood</v>
      </c>
      <c r="N21" t="str">
        <f>IF(N$1&lt;VLOOKUP($A21,kritische_breedtes[#All],2,FALSE),"rood",IF(N$1&lt;VLOOKUP($A21,kritische_breedtes[#All],3,FALSE),"geel","groen"))</f>
        <v>geel</v>
      </c>
      <c r="O21" t="str">
        <f>IF(O$1&lt;VLOOKUP($A21,kritische_breedtes[#All],2,FALSE),"rood",IF(O$1&lt;VLOOKUP($A21,kritische_breedtes[#All],3,FALSE),"geel","groen"))</f>
        <v>geel</v>
      </c>
      <c r="P21" t="str">
        <f>IF(P$1&lt;VLOOKUP($A21,kritische_breedtes[#All],2,FALSE),"rood",IF(P$1&lt;VLOOKUP($A21,kritische_breedtes[#All],3,FALSE),"geel","groen"))</f>
        <v>geel</v>
      </c>
      <c r="Q21" t="str">
        <f>IF(Q$1&lt;VLOOKUP($A21,kritische_breedtes[#All],2,FALSE),"rood",IF(Q$1&lt;VLOOKUP($A21,kritische_breedtes[#All],3,FALSE),"geel","groen"))</f>
        <v>geel</v>
      </c>
      <c r="R21" t="str">
        <f>IF(R$1&lt;VLOOKUP($A21,kritische_breedtes[#All],2,FALSE),"rood",IF(R$1&lt;VLOOKUP($A21,kritische_breedtes[#All],3,FALSE),"geel","groen"))</f>
        <v>geel</v>
      </c>
      <c r="S21" t="str">
        <f>IF(S$1&lt;VLOOKUP($A21,kritische_breedtes[#All],2,FALSE),"rood",IF(S$1&lt;VLOOKUP($A21,kritische_breedtes[#All],3,FALSE),"geel","groen"))</f>
        <v>groen</v>
      </c>
      <c r="T21" t="str">
        <f>IF(T$1&lt;VLOOKUP($A21,kritische_breedtes[#All],2,FALSE),"rood",IF(T$1&lt;VLOOKUP($A21,kritische_breedtes[#All],3,FALSE),"geel","groen"))</f>
        <v>groen</v>
      </c>
      <c r="U21" t="str">
        <f>IF(U$1&lt;VLOOKUP($A21,kritische_breedtes[#All],2,FALSE),"rood",IF(U$1&lt;VLOOKUP($A21,kritische_breedtes[#All],3,FALSE),"geel","groen"))</f>
        <v>groen</v>
      </c>
      <c r="V21" t="str">
        <f>IF(V$1&lt;VLOOKUP($A21,kritische_breedtes[#All],2,FALSE),"rood",IF(V$1&lt;VLOOKUP($A21,kritische_breedtes[#All],3,FALSE),"geel","groen"))</f>
        <v>groen</v>
      </c>
      <c r="W21" t="str">
        <f>IF(W$1&lt;VLOOKUP($A21,kritische_breedtes[#All],2,FALSE),"rood",IF(W$1&lt;VLOOKUP($A21,kritische_breedtes[#All],3,FALSE),"geel","groen"))</f>
        <v>groen</v>
      </c>
      <c r="X21" t="str">
        <f>IF(X$1&lt;VLOOKUP($A21,kritische_breedtes[#All],2,FALSE),"rood",IF(X$1&lt;VLOOKUP($A21,kritische_breedtes[#All],3,FALSE),"geel","groen"))</f>
        <v>groen</v>
      </c>
      <c r="Y21" t="str">
        <f>IF(Y$1&lt;VLOOKUP($A21,kritische_breedtes[#All],2,FALSE),"rood",IF(Y$1&lt;VLOOKUP($A21,kritische_breedtes[#All],3,FALSE),"geel","groen"))</f>
        <v>groen</v>
      </c>
      <c r="Z21" t="str">
        <f>IF(Z$1&lt;VLOOKUP($A21,kritische_breedtes[#All],2,FALSE),"rood",IF(Z$1&lt;VLOOKUP($A21,kritische_breedtes[#All],3,FALSE),"geel","groen"))</f>
        <v>groen</v>
      </c>
      <c r="AA21" t="str">
        <f>IF(AA$1&lt;VLOOKUP($A21,kritische_breedtes[#All],2,FALSE),"rood",IF(AA$1&lt;VLOOKUP($A21,kritische_breedtes[#All],3,FALSE),"geel","groen"))</f>
        <v>groen</v>
      </c>
      <c r="AB21" t="str">
        <f>IF(AB$1&lt;VLOOKUP($A21,kritische_breedtes[#All],2,FALSE),"rood",IF(AB$1&lt;VLOOKUP($A21,kritische_breedtes[#All],3,FALSE),"geel","groen"))</f>
        <v>groen</v>
      </c>
      <c r="AC21" t="str">
        <f>IF(AC$1&lt;VLOOKUP($A21,kritische_breedtes[#All],2,FALSE),"rood",IF(AC$1&lt;VLOOKUP($A21,kritische_breedtes[#All],3,FALSE),"geel","groen"))</f>
        <v>groen</v>
      </c>
      <c r="AD21" t="str">
        <f>IF(AD$1&lt;VLOOKUP($A21,kritische_breedtes[#All],2,FALSE),"rood",IF(AD$1&lt;VLOOKUP($A21,kritische_breedtes[#All],3,FALSE),"geel","groen"))</f>
        <v>groen</v>
      </c>
    </row>
    <row r="22" spans="1:30">
      <c r="A22" t="s">
        <v>113</v>
      </c>
      <c r="B22">
        <f>B16*duofietsers_var2*vrachtverkeer_var2*duofietsers_var2</f>
        <v>1.4564884313725488E-2</v>
      </c>
      <c r="C22" t="str">
        <f>IF(C$1&lt;VLOOKUP($A22,kritische_breedtes[#All],2,FALSE),"rood",IF(C$1&lt;VLOOKUP($A22,kritische_breedtes[#All],3,FALSE),"geel","groen"))</f>
        <v>rood</v>
      </c>
      <c r="D22" t="str">
        <f>IF(D$1&lt;VLOOKUP($A22,kritische_breedtes[#All],2,FALSE),"rood",IF(D$1&lt;VLOOKUP($A22,kritische_breedtes[#All],3,FALSE),"geel","groen"))</f>
        <v>rood</v>
      </c>
      <c r="E22" t="str">
        <f>IF(E$1&lt;VLOOKUP($A22,kritische_breedtes[#All],2,FALSE),"rood",IF(E$1&lt;VLOOKUP($A22,kritische_breedtes[#All],3,FALSE),"geel","groen"))</f>
        <v>rood</v>
      </c>
      <c r="F22" t="str">
        <f>IF(F$1&lt;VLOOKUP($A22,kritische_breedtes[#All],2,FALSE),"rood",IF(F$1&lt;VLOOKUP($A22,kritische_breedtes[#All],3,FALSE),"geel","groen"))</f>
        <v>rood</v>
      </c>
      <c r="G22" t="str">
        <f>IF(G$1&lt;VLOOKUP($A22,kritische_breedtes[#All],2,FALSE),"rood",IF(G$1&lt;VLOOKUP($A22,kritische_breedtes[#All],3,FALSE),"geel","groen"))</f>
        <v>rood</v>
      </c>
      <c r="H22" t="str">
        <f>IF(H$1&lt;VLOOKUP($A22,kritische_breedtes[#All],2,FALSE),"rood",IF(H$1&lt;VLOOKUP($A22,kritische_breedtes[#All],3,FALSE),"geel","groen"))</f>
        <v>rood</v>
      </c>
      <c r="I22" t="str">
        <f>IF(I$1&lt;VLOOKUP($A22,kritische_breedtes[#All],2,FALSE),"rood",IF(I$1&lt;VLOOKUP($A22,kritische_breedtes[#All],3,FALSE),"geel","groen"))</f>
        <v>rood</v>
      </c>
      <c r="J22" t="str">
        <f>IF(J$1&lt;VLOOKUP($A22,kritische_breedtes[#All],2,FALSE),"rood",IF(J$1&lt;VLOOKUP($A22,kritische_breedtes[#All],3,FALSE),"geel","groen"))</f>
        <v>rood</v>
      </c>
      <c r="K22" t="str">
        <f>IF(K$1&lt;VLOOKUP($A22,kritische_breedtes[#All],2,FALSE),"rood",IF(K$1&lt;VLOOKUP($A22,kritische_breedtes[#All],3,FALSE),"geel","groen"))</f>
        <v>rood</v>
      </c>
      <c r="L22" t="str">
        <f>IF(L$1&lt;VLOOKUP($A22,kritische_breedtes[#All],2,FALSE),"rood",IF(L$1&lt;VLOOKUP($A22,kritische_breedtes[#All],3,FALSE),"geel","groen"))</f>
        <v>rood</v>
      </c>
      <c r="M22" t="str">
        <f>IF(M$1&lt;VLOOKUP($A22,kritische_breedtes[#All],2,FALSE),"rood",IF(M$1&lt;VLOOKUP($A22,kritische_breedtes[#All],3,FALSE),"geel","groen"))</f>
        <v>rood</v>
      </c>
      <c r="N22" t="str">
        <f>IF(N$1&lt;VLOOKUP($A22,kritische_breedtes[#All],2,FALSE),"rood",IF(N$1&lt;VLOOKUP($A22,kritische_breedtes[#All],3,FALSE),"geel","groen"))</f>
        <v>rood</v>
      </c>
      <c r="O22" t="str">
        <f>IF(O$1&lt;VLOOKUP($A22,kritische_breedtes[#All],2,FALSE),"rood",IF(O$1&lt;VLOOKUP($A22,kritische_breedtes[#All],3,FALSE),"geel","groen"))</f>
        <v>rood</v>
      </c>
      <c r="P22" t="str">
        <f>IF(P$1&lt;VLOOKUP($A22,kritische_breedtes[#All],2,FALSE),"rood",IF(P$1&lt;VLOOKUP($A22,kritische_breedtes[#All],3,FALSE),"geel","groen"))</f>
        <v>rood</v>
      </c>
      <c r="Q22" t="str">
        <f>IF(Q$1&lt;VLOOKUP($A22,kritische_breedtes[#All],2,FALSE),"rood",IF(Q$1&lt;VLOOKUP($A22,kritische_breedtes[#All],3,FALSE),"geel","groen"))</f>
        <v>rood</v>
      </c>
      <c r="R22" t="str">
        <f>IF(R$1&lt;VLOOKUP($A22,kritische_breedtes[#All],2,FALSE),"rood",IF(R$1&lt;VLOOKUP($A22,kritische_breedtes[#All],3,FALSE),"geel","groen"))</f>
        <v>geel</v>
      </c>
      <c r="S22" t="str">
        <f>IF(S$1&lt;VLOOKUP($A22,kritische_breedtes[#All],2,FALSE),"rood",IF(S$1&lt;VLOOKUP($A22,kritische_breedtes[#All],3,FALSE),"geel","groen"))</f>
        <v>geel</v>
      </c>
      <c r="T22" t="str">
        <f>IF(T$1&lt;VLOOKUP($A22,kritische_breedtes[#All],2,FALSE),"rood",IF(T$1&lt;VLOOKUP($A22,kritische_breedtes[#All],3,FALSE),"geel","groen"))</f>
        <v>geel</v>
      </c>
      <c r="U22" t="str">
        <f>IF(U$1&lt;VLOOKUP($A22,kritische_breedtes[#All],2,FALSE),"rood",IF(U$1&lt;VLOOKUP($A22,kritische_breedtes[#All],3,FALSE),"geel","groen"))</f>
        <v>geel</v>
      </c>
      <c r="V22" t="str">
        <f>IF(V$1&lt;VLOOKUP($A22,kritische_breedtes[#All],2,FALSE),"rood",IF(V$1&lt;VLOOKUP($A22,kritische_breedtes[#All],3,FALSE),"geel","groen"))</f>
        <v>geel</v>
      </c>
      <c r="W22" t="str">
        <f>IF(W$1&lt;VLOOKUP($A22,kritische_breedtes[#All],2,FALSE),"rood",IF(W$1&lt;VLOOKUP($A22,kritische_breedtes[#All],3,FALSE),"geel","groen"))</f>
        <v>groen</v>
      </c>
      <c r="X22" t="str">
        <f>IF(X$1&lt;VLOOKUP($A22,kritische_breedtes[#All],2,FALSE),"rood",IF(X$1&lt;VLOOKUP($A22,kritische_breedtes[#All],3,FALSE),"geel","groen"))</f>
        <v>groen</v>
      </c>
      <c r="Y22" t="str">
        <f>IF(Y$1&lt;VLOOKUP($A22,kritische_breedtes[#All],2,FALSE),"rood",IF(Y$1&lt;VLOOKUP($A22,kritische_breedtes[#All],3,FALSE),"geel","groen"))</f>
        <v>groen</v>
      </c>
      <c r="Z22" t="str">
        <f>IF(Z$1&lt;VLOOKUP($A22,kritische_breedtes[#All],2,FALSE),"rood",IF(Z$1&lt;VLOOKUP($A22,kritische_breedtes[#All],3,FALSE),"geel","groen"))</f>
        <v>groen</v>
      </c>
      <c r="AA22" t="str">
        <f>IF(AA$1&lt;VLOOKUP($A22,kritische_breedtes[#All],2,FALSE),"rood",IF(AA$1&lt;VLOOKUP($A22,kritische_breedtes[#All],3,FALSE),"geel","groen"))</f>
        <v>groen</v>
      </c>
      <c r="AB22" t="str">
        <f>IF(AB$1&lt;VLOOKUP($A22,kritische_breedtes[#All],2,FALSE),"rood",IF(AB$1&lt;VLOOKUP($A22,kritische_breedtes[#All],3,FALSE),"geel","groen"))</f>
        <v>groen</v>
      </c>
      <c r="AC22" t="str">
        <f>IF(AC$1&lt;VLOOKUP($A22,kritische_breedtes[#All],2,FALSE),"rood",IF(AC$1&lt;VLOOKUP($A22,kritische_breedtes[#All],3,FALSE),"geel","groen"))</f>
        <v>groen</v>
      </c>
      <c r="AD22" t="str">
        <f>IF(AD$1&lt;VLOOKUP($A22,kritische_breedtes[#All],2,FALSE),"rood",IF(AD$1&lt;VLOOKUP($A22,kritische_breedtes[#All],3,FALSE),"geel","groen"))</f>
        <v>groen</v>
      </c>
    </row>
    <row r="24" spans="1:30">
      <c r="A24" t="s">
        <v>186</v>
      </c>
      <c r="B24">
        <f>MAX(0,i_fiets_sec_ri1_var2*i_auto_sec_ri1_var2*(t_fiets_var2-t_auto_var2)*i_auto_sec_ri2_var2*t_inhalen*periode+i_fiets_sec_ri2_var2*i_auto_sec_ri2_var2*(t_fiets_var2-t_auto_var2)*i_auto_sec_ri1_var2*t_inhalen*periode-B32)</f>
        <v>29.43553267973855</v>
      </c>
    </row>
    <row r="25" spans="1:30">
      <c r="A25" t="s">
        <v>120</v>
      </c>
      <c r="B25">
        <f>B24*(1-duofietsers_var2)*(1-vrachtverkeer_var2)*(1-vrachtverkeer_var2)</f>
        <v>25.442897027058812</v>
      </c>
      <c r="C25" t="str">
        <f>IF(C$1&lt;VLOOKUP($A25,kritische_breedtes[#All],2,FALSE),"rood",IF(C$1&lt;VLOOKUP($A25,kritische_breedtes[#All],3,FALSE),"geel","groen"))</f>
        <v>rood</v>
      </c>
      <c r="D25" t="str">
        <f>IF(D$1&lt;VLOOKUP($A25,kritische_breedtes[#All],2,FALSE),"rood",IF(D$1&lt;VLOOKUP($A25,kritische_breedtes[#All],3,FALSE),"geel","groen"))</f>
        <v>rood</v>
      </c>
      <c r="E25" t="str">
        <f>IF(E$1&lt;VLOOKUP($A25,kritische_breedtes[#All],2,FALSE),"rood",IF(E$1&lt;VLOOKUP($A25,kritische_breedtes[#All],3,FALSE),"geel","groen"))</f>
        <v>rood</v>
      </c>
      <c r="F25" t="str">
        <f>IF(F$1&lt;VLOOKUP($A25,kritische_breedtes[#All],2,FALSE),"rood",IF(F$1&lt;VLOOKUP($A25,kritische_breedtes[#All],3,FALSE),"geel","groen"))</f>
        <v>rood</v>
      </c>
      <c r="G25" t="str">
        <f>IF(G$1&lt;VLOOKUP($A25,kritische_breedtes[#All],2,FALSE),"rood",IF(G$1&lt;VLOOKUP($A25,kritische_breedtes[#All],3,FALSE),"geel","groen"))</f>
        <v>rood</v>
      </c>
      <c r="H25" t="str">
        <f>IF(H$1&lt;VLOOKUP($A25,kritische_breedtes[#All],2,FALSE),"rood",IF(H$1&lt;VLOOKUP($A25,kritische_breedtes[#All],3,FALSE),"geel","groen"))</f>
        <v>rood</v>
      </c>
      <c r="I25" t="str">
        <f>IF(I$1&lt;VLOOKUP($A25,kritische_breedtes[#All],2,FALSE),"rood",IF(I$1&lt;VLOOKUP($A25,kritische_breedtes[#All],3,FALSE),"geel","groen"))</f>
        <v>geel</v>
      </c>
      <c r="J25" t="str">
        <f>IF(J$1&lt;VLOOKUP($A25,kritische_breedtes[#All],2,FALSE),"rood",IF(J$1&lt;VLOOKUP($A25,kritische_breedtes[#All],3,FALSE),"geel","groen"))</f>
        <v>geel</v>
      </c>
      <c r="K25" t="str">
        <f>IF(K$1&lt;VLOOKUP($A25,kritische_breedtes[#All],2,FALSE),"rood",IF(K$1&lt;VLOOKUP($A25,kritische_breedtes[#All],3,FALSE),"geel","groen"))</f>
        <v>geel</v>
      </c>
      <c r="L25" t="str">
        <f>IF(L$1&lt;VLOOKUP($A25,kritische_breedtes[#All],2,FALSE),"rood",IF(L$1&lt;VLOOKUP($A25,kritische_breedtes[#All],3,FALSE),"geel","groen"))</f>
        <v>geel</v>
      </c>
      <c r="M25" t="str">
        <f>IF(M$1&lt;VLOOKUP($A25,kritische_breedtes[#All],2,FALSE),"rood",IF(M$1&lt;VLOOKUP($A25,kritische_breedtes[#All],3,FALSE),"geel","groen"))</f>
        <v>groen</v>
      </c>
      <c r="N25" t="str">
        <f>IF(N$1&lt;VLOOKUP($A25,kritische_breedtes[#All],2,FALSE),"rood",IF(N$1&lt;VLOOKUP($A25,kritische_breedtes[#All],3,FALSE),"geel","groen"))</f>
        <v>groen</v>
      </c>
      <c r="O25" t="str">
        <f>IF(O$1&lt;VLOOKUP($A25,kritische_breedtes[#All],2,FALSE),"rood",IF(O$1&lt;VLOOKUP($A25,kritische_breedtes[#All],3,FALSE),"geel","groen"))</f>
        <v>groen</v>
      </c>
      <c r="P25" t="str">
        <f>IF(P$1&lt;VLOOKUP($A25,kritische_breedtes[#All],2,FALSE),"rood",IF(P$1&lt;VLOOKUP($A25,kritische_breedtes[#All],3,FALSE),"geel","groen"))</f>
        <v>groen</v>
      </c>
      <c r="Q25" t="str">
        <f>IF(Q$1&lt;VLOOKUP($A25,kritische_breedtes[#All],2,FALSE),"rood",IF(Q$1&lt;VLOOKUP($A25,kritische_breedtes[#All],3,FALSE),"geel","groen"))</f>
        <v>groen</v>
      </c>
      <c r="R25" t="str">
        <f>IF(R$1&lt;VLOOKUP($A25,kritische_breedtes[#All],2,FALSE),"rood",IF(R$1&lt;VLOOKUP($A25,kritische_breedtes[#All],3,FALSE),"geel","groen"))</f>
        <v>groen</v>
      </c>
      <c r="S25" t="str">
        <f>IF(S$1&lt;VLOOKUP($A25,kritische_breedtes[#All],2,FALSE),"rood",IF(S$1&lt;VLOOKUP($A25,kritische_breedtes[#All],3,FALSE),"geel","groen"))</f>
        <v>groen</v>
      </c>
      <c r="T25" t="str">
        <f>IF(T$1&lt;VLOOKUP($A25,kritische_breedtes[#All],2,FALSE),"rood",IF(T$1&lt;VLOOKUP($A25,kritische_breedtes[#All],3,FALSE),"geel","groen"))</f>
        <v>groen</v>
      </c>
      <c r="U25" t="str">
        <f>IF(U$1&lt;VLOOKUP($A25,kritische_breedtes[#All],2,FALSE),"rood",IF(U$1&lt;VLOOKUP($A25,kritische_breedtes[#All],3,FALSE),"geel","groen"))</f>
        <v>groen</v>
      </c>
      <c r="V25" t="str">
        <f>IF(V$1&lt;VLOOKUP($A25,kritische_breedtes[#All],2,FALSE),"rood",IF(V$1&lt;VLOOKUP($A25,kritische_breedtes[#All],3,FALSE),"geel","groen"))</f>
        <v>groen</v>
      </c>
      <c r="W25" t="str">
        <f>IF(W$1&lt;VLOOKUP($A25,kritische_breedtes[#All],2,FALSE),"rood",IF(W$1&lt;VLOOKUP($A25,kritische_breedtes[#All],3,FALSE),"geel","groen"))</f>
        <v>groen</v>
      </c>
      <c r="X25" t="str">
        <f>IF(X$1&lt;VLOOKUP($A25,kritische_breedtes[#All],2,FALSE),"rood",IF(X$1&lt;VLOOKUP($A25,kritische_breedtes[#All],3,FALSE),"geel","groen"))</f>
        <v>groen</v>
      </c>
      <c r="Y25" t="str">
        <f>IF(Y$1&lt;VLOOKUP($A25,kritische_breedtes[#All],2,FALSE),"rood",IF(Y$1&lt;VLOOKUP($A25,kritische_breedtes[#All],3,FALSE),"geel","groen"))</f>
        <v>groen</v>
      </c>
      <c r="Z25" t="str">
        <f>IF(Z$1&lt;VLOOKUP($A25,kritische_breedtes[#All],2,FALSE),"rood",IF(Z$1&lt;VLOOKUP($A25,kritische_breedtes[#All],3,FALSE),"geel","groen"))</f>
        <v>groen</v>
      </c>
      <c r="AA25" t="str">
        <f>IF(AA$1&lt;VLOOKUP($A25,kritische_breedtes[#All],2,FALSE),"rood",IF(AA$1&lt;VLOOKUP($A25,kritische_breedtes[#All],3,FALSE),"geel","groen"))</f>
        <v>groen</v>
      </c>
      <c r="AB25" t="str">
        <f>IF(AB$1&lt;VLOOKUP($A25,kritische_breedtes[#All],2,FALSE),"rood",IF(AB$1&lt;VLOOKUP($A25,kritische_breedtes[#All],3,FALSE),"geel","groen"))</f>
        <v>groen</v>
      </c>
      <c r="AC25" t="str">
        <f>IF(AC$1&lt;VLOOKUP($A25,kritische_breedtes[#All],2,FALSE),"rood",IF(AC$1&lt;VLOOKUP($A25,kritische_breedtes[#All],3,FALSE),"geel","groen"))</f>
        <v>groen</v>
      </c>
      <c r="AD25" t="str">
        <f>IF(AD$1&lt;VLOOKUP($A25,kritische_breedtes[#All],2,FALSE),"rood",IF(AD$1&lt;VLOOKUP($A25,kritische_breedtes[#All],3,FALSE),"geel","groen"))</f>
        <v>groen</v>
      </c>
    </row>
    <row r="26" spans="1:30">
      <c r="A26" t="s">
        <v>123</v>
      </c>
      <c r="B26">
        <f>B24*(1-duofietsers_var2)*(1-vrachtverkeer_var2)*vrachtverkeer_var2+B24*(1-duofietsers_var2)*vrachtverkeer_var2*(1-vrachtverkeer_var2)</f>
        <v>1.0384855929411763</v>
      </c>
      <c r="C26" t="str">
        <f>IF(C$1&lt;VLOOKUP($A26,kritische_breedtes[#All],2,FALSE),"rood",IF(C$1&lt;VLOOKUP($A26,kritische_breedtes[#All],3,FALSE),"geel","groen"))</f>
        <v>rood</v>
      </c>
      <c r="D26" t="str">
        <f>IF(D$1&lt;VLOOKUP($A26,kritische_breedtes[#All],2,FALSE),"rood",IF(D$1&lt;VLOOKUP($A26,kritische_breedtes[#All],3,FALSE),"geel","groen"))</f>
        <v>rood</v>
      </c>
      <c r="E26" t="str">
        <f>IF(E$1&lt;VLOOKUP($A26,kritische_breedtes[#All],2,FALSE),"rood",IF(E$1&lt;VLOOKUP($A26,kritische_breedtes[#All],3,FALSE),"geel","groen"))</f>
        <v>rood</v>
      </c>
      <c r="F26" t="str">
        <f>IF(F$1&lt;VLOOKUP($A26,kritische_breedtes[#All],2,FALSE),"rood",IF(F$1&lt;VLOOKUP($A26,kritische_breedtes[#All],3,FALSE),"geel","groen"))</f>
        <v>rood</v>
      </c>
      <c r="G26" t="str">
        <f>IF(G$1&lt;VLOOKUP($A26,kritische_breedtes[#All],2,FALSE),"rood",IF(G$1&lt;VLOOKUP($A26,kritische_breedtes[#All],3,FALSE),"geel","groen"))</f>
        <v>rood</v>
      </c>
      <c r="H26" t="str">
        <f>IF(H$1&lt;VLOOKUP($A26,kritische_breedtes[#All],2,FALSE),"rood",IF(H$1&lt;VLOOKUP($A26,kritische_breedtes[#All],3,FALSE),"geel","groen"))</f>
        <v>rood</v>
      </c>
      <c r="I26" t="str">
        <f>IF(I$1&lt;VLOOKUP($A26,kritische_breedtes[#All],2,FALSE),"rood",IF(I$1&lt;VLOOKUP($A26,kritische_breedtes[#All],3,FALSE),"geel","groen"))</f>
        <v>rood</v>
      </c>
      <c r="J26" t="str">
        <f>IF(J$1&lt;VLOOKUP($A26,kritische_breedtes[#All],2,FALSE),"rood",IF(J$1&lt;VLOOKUP($A26,kritische_breedtes[#All],3,FALSE),"geel","groen"))</f>
        <v>rood</v>
      </c>
      <c r="K26" t="str">
        <f>IF(K$1&lt;VLOOKUP($A26,kritische_breedtes[#All],2,FALSE),"rood",IF(K$1&lt;VLOOKUP($A26,kritische_breedtes[#All],3,FALSE),"geel","groen"))</f>
        <v>rood</v>
      </c>
      <c r="L26" t="str">
        <f>IF(L$1&lt;VLOOKUP($A26,kritische_breedtes[#All],2,FALSE),"rood",IF(L$1&lt;VLOOKUP($A26,kritische_breedtes[#All],3,FALSE),"geel","groen"))</f>
        <v>geel</v>
      </c>
      <c r="M26" t="str">
        <f>IF(M$1&lt;VLOOKUP($A26,kritische_breedtes[#All],2,FALSE),"rood",IF(M$1&lt;VLOOKUP($A26,kritische_breedtes[#All],3,FALSE),"geel","groen"))</f>
        <v>geel</v>
      </c>
      <c r="N26" t="str">
        <f>IF(N$1&lt;VLOOKUP($A26,kritische_breedtes[#All],2,FALSE),"rood",IF(N$1&lt;VLOOKUP($A26,kritische_breedtes[#All],3,FALSE),"geel","groen"))</f>
        <v>geel</v>
      </c>
      <c r="O26" t="str">
        <f>IF(O$1&lt;VLOOKUP($A26,kritische_breedtes[#All],2,FALSE),"rood",IF(O$1&lt;VLOOKUP($A26,kritische_breedtes[#All],3,FALSE),"geel","groen"))</f>
        <v>geel</v>
      </c>
      <c r="P26" t="str">
        <f>IF(P$1&lt;VLOOKUP($A26,kritische_breedtes[#All],2,FALSE),"rood",IF(P$1&lt;VLOOKUP($A26,kritische_breedtes[#All],3,FALSE),"geel","groen"))</f>
        <v>geel</v>
      </c>
      <c r="Q26" t="str">
        <f>IF(Q$1&lt;VLOOKUP($A26,kritische_breedtes[#All],2,FALSE),"rood",IF(Q$1&lt;VLOOKUP($A26,kritische_breedtes[#All],3,FALSE),"geel","groen"))</f>
        <v>groen</v>
      </c>
      <c r="R26" t="str">
        <f>IF(R$1&lt;VLOOKUP($A26,kritische_breedtes[#All],2,FALSE),"rood",IF(R$1&lt;VLOOKUP($A26,kritische_breedtes[#All],3,FALSE),"geel","groen"))</f>
        <v>groen</v>
      </c>
      <c r="S26" t="str">
        <f>IF(S$1&lt;VLOOKUP($A26,kritische_breedtes[#All],2,FALSE),"rood",IF(S$1&lt;VLOOKUP($A26,kritische_breedtes[#All],3,FALSE),"geel","groen"))</f>
        <v>groen</v>
      </c>
      <c r="T26" t="str">
        <f>IF(T$1&lt;VLOOKUP($A26,kritische_breedtes[#All],2,FALSE),"rood",IF(T$1&lt;VLOOKUP($A26,kritische_breedtes[#All],3,FALSE),"geel","groen"))</f>
        <v>groen</v>
      </c>
      <c r="U26" t="str">
        <f>IF(U$1&lt;VLOOKUP($A26,kritische_breedtes[#All],2,FALSE),"rood",IF(U$1&lt;VLOOKUP($A26,kritische_breedtes[#All],3,FALSE),"geel","groen"))</f>
        <v>groen</v>
      </c>
      <c r="V26" t="str">
        <f>IF(V$1&lt;VLOOKUP($A26,kritische_breedtes[#All],2,FALSE),"rood",IF(V$1&lt;VLOOKUP($A26,kritische_breedtes[#All],3,FALSE),"geel","groen"))</f>
        <v>groen</v>
      </c>
      <c r="W26" t="str">
        <f>IF(W$1&lt;VLOOKUP($A26,kritische_breedtes[#All],2,FALSE),"rood",IF(W$1&lt;VLOOKUP($A26,kritische_breedtes[#All],3,FALSE),"geel","groen"))</f>
        <v>groen</v>
      </c>
      <c r="X26" t="str">
        <f>IF(X$1&lt;VLOOKUP($A26,kritische_breedtes[#All],2,FALSE),"rood",IF(X$1&lt;VLOOKUP($A26,kritische_breedtes[#All],3,FALSE),"geel","groen"))</f>
        <v>groen</v>
      </c>
      <c r="Y26" t="str">
        <f>IF(Y$1&lt;VLOOKUP($A26,kritische_breedtes[#All],2,FALSE),"rood",IF(Y$1&lt;VLOOKUP($A26,kritische_breedtes[#All],3,FALSE),"geel","groen"))</f>
        <v>groen</v>
      </c>
      <c r="Z26" t="str">
        <f>IF(Z$1&lt;VLOOKUP($A26,kritische_breedtes[#All],2,FALSE),"rood",IF(Z$1&lt;VLOOKUP($A26,kritische_breedtes[#All],3,FALSE),"geel","groen"))</f>
        <v>groen</v>
      </c>
      <c r="AA26" t="str">
        <f>IF(AA$1&lt;VLOOKUP($A26,kritische_breedtes[#All],2,FALSE),"rood",IF(AA$1&lt;VLOOKUP($A26,kritische_breedtes[#All],3,FALSE),"geel","groen"))</f>
        <v>groen</v>
      </c>
      <c r="AB26" t="str">
        <f>IF(AB$1&lt;VLOOKUP($A26,kritische_breedtes[#All],2,FALSE),"rood",IF(AB$1&lt;VLOOKUP($A26,kritische_breedtes[#All],3,FALSE),"geel","groen"))</f>
        <v>groen</v>
      </c>
      <c r="AC26" t="str">
        <f>IF(AC$1&lt;VLOOKUP($A26,kritische_breedtes[#All],2,FALSE),"rood",IF(AC$1&lt;VLOOKUP($A26,kritische_breedtes[#All],3,FALSE),"geel","groen"))</f>
        <v>groen</v>
      </c>
      <c r="AD26" t="str">
        <f>IF(AD$1&lt;VLOOKUP($A26,kritische_breedtes[#All],2,FALSE),"rood",IF(AD$1&lt;VLOOKUP($A26,kritische_breedtes[#All],3,FALSE),"geel","groen"))</f>
        <v>groen</v>
      </c>
    </row>
    <row r="27" spans="1:30">
      <c r="A27" t="s">
        <v>127</v>
      </c>
      <c r="B27">
        <f>B24*(1-duofietsers_var2)*vrachtverkeer_var2*vrachtverkeer_var2</f>
        <v>1.059679176470588E-2</v>
      </c>
      <c r="C27" t="str">
        <f>IF(C$1&lt;VLOOKUP($A27,kritische_breedtes[#All],2,FALSE),"rood",IF(C$1&lt;VLOOKUP($A27,kritische_breedtes[#All],3,FALSE),"geel","groen"))</f>
        <v>rood</v>
      </c>
      <c r="D27" t="str">
        <f>IF(D$1&lt;VLOOKUP($A27,kritische_breedtes[#All],2,FALSE),"rood",IF(D$1&lt;VLOOKUP($A27,kritische_breedtes[#All],3,FALSE),"geel","groen"))</f>
        <v>rood</v>
      </c>
      <c r="E27" t="str">
        <f>IF(E$1&lt;VLOOKUP($A27,kritische_breedtes[#All],2,FALSE),"rood",IF(E$1&lt;VLOOKUP($A27,kritische_breedtes[#All],3,FALSE),"geel","groen"))</f>
        <v>rood</v>
      </c>
      <c r="F27" t="str">
        <f>IF(F$1&lt;VLOOKUP($A27,kritische_breedtes[#All],2,FALSE),"rood",IF(F$1&lt;VLOOKUP($A27,kritische_breedtes[#All],3,FALSE),"geel","groen"))</f>
        <v>rood</v>
      </c>
      <c r="G27" t="str">
        <f>IF(G$1&lt;VLOOKUP($A27,kritische_breedtes[#All],2,FALSE),"rood",IF(G$1&lt;VLOOKUP($A27,kritische_breedtes[#All],3,FALSE),"geel","groen"))</f>
        <v>rood</v>
      </c>
      <c r="H27" t="str">
        <f>IF(H$1&lt;VLOOKUP($A27,kritische_breedtes[#All],2,FALSE),"rood",IF(H$1&lt;VLOOKUP($A27,kritische_breedtes[#All],3,FALSE),"geel","groen"))</f>
        <v>rood</v>
      </c>
      <c r="I27" t="str">
        <f>IF(I$1&lt;VLOOKUP($A27,kritische_breedtes[#All],2,FALSE),"rood",IF(I$1&lt;VLOOKUP($A27,kritische_breedtes[#All],3,FALSE),"geel","groen"))</f>
        <v>rood</v>
      </c>
      <c r="J27" t="str">
        <f>IF(J$1&lt;VLOOKUP($A27,kritische_breedtes[#All],2,FALSE),"rood",IF(J$1&lt;VLOOKUP($A27,kritische_breedtes[#All],3,FALSE),"geel","groen"))</f>
        <v>rood</v>
      </c>
      <c r="K27" t="str">
        <f>IF(K$1&lt;VLOOKUP($A27,kritische_breedtes[#All],2,FALSE),"rood",IF(K$1&lt;VLOOKUP($A27,kritische_breedtes[#All],3,FALSE),"geel","groen"))</f>
        <v>rood</v>
      </c>
      <c r="L27" t="str">
        <f>IF(L$1&lt;VLOOKUP($A27,kritische_breedtes[#All],2,FALSE),"rood",IF(L$1&lt;VLOOKUP($A27,kritische_breedtes[#All],3,FALSE),"geel","groen"))</f>
        <v>rood</v>
      </c>
      <c r="M27" t="str">
        <f>IF(M$1&lt;VLOOKUP($A27,kritische_breedtes[#All],2,FALSE),"rood",IF(M$1&lt;VLOOKUP($A27,kritische_breedtes[#All],3,FALSE),"geel","groen"))</f>
        <v>rood</v>
      </c>
      <c r="N27" t="str">
        <f>IF(N$1&lt;VLOOKUP($A27,kritische_breedtes[#All],2,FALSE),"rood",IF(N$1&lt;VLOOKUP($A27,kritische_breedtes[#All],3,FALSE),"geel","groen"))</f>
        <v>rood</v>
      </c>
      <c r="O27" t="str">
        <f>IF(O$1&lt;VLOOKUP($A27,kritische_breedtes[#All],2,FALSE),"rood",IF(O$1&lt;VLOOKUP($A27,kritische_breedtes[#All],3,FALSE),"geel","groen"))</f>
        <v>rood</v>
      </c>
      <c r="P27" t="str">
        <f>IF(P$1&lt;VLOOKUP($A27,kritische_breedtes[#All],2,FALSE),"rood",IF(P$1&lt;VLOOKUP($A27,kritische_breedtes[#All],3,FALSE),"geel","groen"))</f>
        <v>geel</v>
      </c>
      <c r="Q27" t="str">
        <f>IF(Q$1&lt;VLOOKUP($A27,kritische_breedtes[#All],2,FALSE),"rood",IF(Q$1&lt;VLOOKUP($A27,kritische_breedtes[#All],3,FALSE),"geel","groen"))</f>
        <v>geel</v>
      </c>
      <c r="R27" t="str">
        <f>IF(R$1&lt;VLOOKUP($A27,kritische_breedtes[#All],2,FALSE),"rood",IF(R$1&lt;VLOOKUP($A27,kritische_breedtes[#All],3,FALSE),"geel","groen"))</f>
        <v>geel</v>
      </c>
      <c r="S27" t="str">
        <f>IF(S$1&lt;VLOOKUP($A27,kritische_breedtes[#All],2,FALSE),"rood",IF(S$1&lt;VLOOKUP($A27,kritische_breedtes[#All],3,FALSE),"geel","groen"))</f>
        <v>geel</v>
      </c>
      <c r="T27" t="str">
        <f>IF(T$1&lt;VLOOKUP($A27,kritische_breedtes[#All],2,FALSE),"rood",IF(T$1&lt;VLOOKUP($A27,kritische_breedtes[#All],3,FALSE),"geel","groen"))</f>
        <v>geel</v>
      </c>
      <c r="U27" t="str">
        <f>IF(U$1&lt;VLOOKUP($A27,kritische_breedtes[#All],2,FALSE),"rood",IF(U$1&lt;VLOOKUP($A27,kritische_breedtes[#All],3,FALSE),"geel","groen"))</f>
        <v>groen</v>
      </c>
      <c r="V27" t="str">
        <f>IF(V$1&lt;VLOOKUP($A27,kritische_breedtes[#All],2,FALSE),"rood",IF(V$1&lt;VLOOKUP($A27,kritische_breedtes[#All],3,FALSE),"geel","groen"))</f>
        <v>groen</v>
      </c>
      <c r="W27" t="str">
        <f>IF(W$1&lt;VLOOKUP($A27,kritische_breedtes[#All],2,FALSE),"rood",IF(W$1&lt;VLOOKUP($A27,kritische_breedtes[#All],3,FALSE),"geel","groen"))</f>
        <v>groen</v>
      </c>
      <c r="X27" t="str">
        <f>IF(X$1&lt;VLOOKUP($A27,kritische_breedtes[#All],2,FALSE),"rood",IF(X$1&lt;VLOOKUP($A27,kritische_breedtes[#All],3,FALSE),"geel","groen"))</f>
        <v>groen</v>
      </c>
      <c r="Y27" t="str">
        <f>IF(Y$1&lt;VLOOKUP($A27,kritische_breedtes[#All],2,FALSE),"rood",IF(Y$1&lt;VLOOKUP($A27,kritische_breedtes[#All],3,FALSE),"geel","groen"))</f>
        <v>groen</v>
      </c>
      <c r="Z27" t="str">
        <f>IF(Z$1&lt;VLOOKUP($A27,kritische_breedtes[#All],2,FALSE),"rood",IF(Z$1&lt;VLOOKUP($A27,kritische_breedtes[#All],3,FALSE),"geel","groen"))</f>
        <v>groen</v>
      </c>
      <c r="AA27" t="str">
        <f>IF(AA$1&lt;VLOOKUP($A27,kritische_breedtes[#All],2,FALSE),"rood",IF(AA$1&lt;VLOOKUP($A27,kritische_breedtes[#All],3,FALSE),"geel","groen"))</f>
        <v>groen</v>
      </c>
      <c r="AB27" t="str">
        <f>IF(AB$1&lt;VLOOKUP($A27,kritische_breedtes[#All],2,FALSE),"rood",IF(AB$1&lt;VLOOKUP($A27,kritische_breedtes[#All],3,FALSE),"geel","groen"))</f>
        <v>groen</v>
      </c>
      <c r="AC27" t="str">
        <f>IF(AC$1&lt;VLOOKUP($A27,kritische_breedtes[#All],2,FALSE),"rood",IF(AC$1&lt;VLOOKUP($A27,kritische_breedtes[#All],3,FALSE),"geel","groen"))</f>
        <v>groen</v>
      </c>
      <c r="AD27" t="str">
        <f>IF(AD$1&lt;VLOOKUP($A27,kritische_breedtes[#All],2,FALSE),"rood",IF(AD$1&lt;VLOOKUP($A27,kritische_breedtes[#All],3,FALSE),"geel","groen"))</f>
        <v>groen</v>
      </c>
    </row>
    <row r="28" spans="1:30">
      <c r="A28" t="s">
        <v>131</v>
      </c>
      <c r="B28">
        <f>B24*duofietsers_var2*(1-vrachtverkeer_var2)*(1-vrachtverkeer_var2)</f>
        <v>2.8269885585620904</v>
      </c>
      <c r="C28" t="str">
        <f>IF(C$1&lt;VLOOKUP($A28,kritische_breedtes[#All],2,FALSE),"rood",IF(C$1&lt;VLOOKUP($A28,kritische_breedtes[#All],3,FALSE),"geel","groen"))</f>
        <v>rood</v>
      </c>
      <c r="D28" t="str">
        <f>IF(D$1&lt;VLOOKUP($A28,kritische_breedtes[#All],2,FALSE),"rood",IF(D$1&lt;VLOOKUP($A28,kritische_breedtes[#All],3,FALSE),"geel","groen"))</f>
        <v>rood</v>
      </c>
      <c r="E28" t="str">
        <f>IF(E$1&lt;VLOOKUP($A28,kritische_breedtes[#All],2,FALSE),"rood",IF(E$1&lt;VLOOKUP($A28,kritische_breedtes[#All],3,FALSE),"geel","groen"))</f>
        <v>rood</v>
      </c>
      <c r="F28" t="str">
        <f>IF(F$1&lt;VLOOKUP($A28,kritische_breedtes[#All],2,FALSE),"rood",IF(F$1&lt;VLOOKUP($A28,kritische_breedtes[#All],3,FALSE),"geel","groen"))</f>
        <v>rood</v>
      </c>
      <c r="G28" t="str">
        <f>IF(G$1&lt;VLOOKUP($A28,kritische_breedtes[#All],2,FALSE),"rood",IF(G$1&lt;VLOOKUP($A28,kritische_breedtes[#All],3,FALSE),"geel","groen"))</f>
        <v>rood</v>
      </c>
      <c r="H28" t="str">
        <f>IF(H$1&lt;VLOOKUP($A28,kritische_breedtes[#All],2,FALSE),"rood",IF(H$1&lt;VLOOKUP($A28,kritische_breedtes[#All],3,FALSE),"geel","groen"))</f>
        <v>rood</v>
      </c>
      <c r="I28" t="str">
        <f>IF(I$1&lt;VLOOKUP($A28,kritische_breedtes[#All],2,FALSE),"rood",IF(I$1&lt;VLOOKUP($A28,kritische_breedtes[#All],3,FALSE),"geel","groen"))</f>
        <v>rood</v>
      </c>
      <c r="J28" t="str">
        <f>IF(J$1&lt;VLOOKUP($A28,kritische_breedtes[#All],2,FALSE),"rood",IF(J$1&lt;VLOOKUP($A28,kritische_breedtes[#All],3,FALSE),"geel","groen"))</f>
        <v>rood</v>
      </c>
      <c r="K28" t="str">
        <f>IF(K$1&lt;VLOOKUP($A28,kritische_breedtes[#All],2,FALSE),"rood",IF(K$1&lt;VLOOKUP($A28,kritische_breedtes[#All],3,FALSE),"geel","groen"))</f>
        <v>rood</v>
      </c>
      <c r="L28" t="str">
        <f>IF(L$1&lt;VLOOKUP($A28,kritische_breedtes[#All],2,FALSE),"rood",IF(L$1&lt;VLOOKUP($A28,kritische_breedtes[#All],3,FALSE),"geel","groen"))</f>
        <v>geel</v>
      </c>
      <c r="M28" t="str">
        <f>IF(M$1&lt;VLOOKUP($A28,kritische_breedtes[#All],2,FALSE),"rood",IF(M$1&lt;VLOOKUP($A28,kritische_breedtes[#All],3,FALSE),"geel","groen"))</f>
        <v>geel</v>
      </c>
      <c r="N28" t="str">
        <f>IF(N$1&lt;VLOOKUP($A28,kritische_breedtes[#All],2,FALSE),"rood",IF(N$1&lt;VLOOKUP($A28,kritische_breedtes[#All],3,FALSE),"geel","groen"))</f>
        <v>geel</v>
      </c>
      <c r="O28" t="str">
        <f>IF(O$1&lt;VLOOKUP($A28,kritische_breedtes[#All],2,FALSE),"rood",IF(O$1&lt;VLOOKUP($A28,kritische_breedtes[#All],3,FALSE),"geel","groen"))</f>
        <v>geel</v>
      </c>
      <c r="P28" t="str">
        <f>IF(P$1&lt;VLOOKUP($A28,kritische_breedtes[#All],2,FALSE),"rood",IF(P$1&lt;VLOOKUP($A28,kritische_breedtes[#All],3,FALSE),"geel","groen"))</f>
        <v>geel</v>
      </c>
      <c r="Q28" t="str">
        <f>IF(Q$1&lt;VLOOKUP($A28,kritische_breedtes[#All],2,FALSE),"rood",IF(Q$1&lt;VLOOKUP($A28,kritische_breedtes[#All],3,FALSE),"geel","groen"))</f>
        <v>groen</v>
      </c>
      <c r="R28" t="str">
        <f>IF(R$1&lt;VLOOKUP($A28,kritische_breedtes[#All],2,FALSE),"rood",IF(R$1&lt;VLOOKUP($A28,kritische_breedtes[#All],3,FALSE),"geel","groen"))</f>
        <v>groen</v>
      </c>
      <c r="S28" t="str">
        <f>IF(S$1&lt;VLOOKUP($A28,kritische_breedtes[#All],2,FALSE),"rood",IF(S$1&lt;VLOOKUP($A28,kritische_breedtes[#All],3,FALSE),"geel","groen"))</f>
        <v>groen</v>
      </c>
      <c r="T28" t="str">
        <f>IF(T$1&lt;VLOOKUP($A28,kritische_breedtes[#All],2,FALSE),"rood",IF(T$1&lt;VLOOKUP($A28,kritische_breedtes[#All],3,FALSE),"geel","groen"))</f>
        <v>groen</v>
      </c>
      <c r="U28" t="str">
        <f>IF(U$1&lt;VLOOKUP($A28,kritische_breedtes[#All],2,FALSE),"rood",IF(U$1&lt;VLOOKUP($A28,kritische_breedtes[#All],3,FALSE),"geel","groen"))</f>
        <v>groen</v>
      </c>
      <c r="V28" t="str">
        <f>IF(V$1&lt;VLOOKUP($A28,kritische_breedtes[#All],2,FALSE),"rood",IF(V$1&lt;VLOOKUP($A28,kritische_breedtes[#All],3,FALSE),"geel","groen"))</f>
        <v>groen</v>
      </c>
      <c r="W28" t="str">
        <f>IF(W$1&lt;VLOOKUP($A28,kritische_breedtes[#All],2,FALSE),"rood",IF(W$1&lt;VLOOKUP($A28,kritische_breedtes[#All],3,FALSE),"geel","groen"))</f>
        <v>groen</v>
      </c>
      <c r="X28" t="str">
        <f>IF(X$1&lt;VLOOKUP($A28,kritische_breedtes[#All],2,FALSE),"rood",IF(X$1&lt;VLOOKUP($A28,kritische_breedtes[#All],3,FALSE),"geel","groen"))</f>
        <v>groen</v>
      </c>
      <c r="Y28" t="str">
        <f>IF(Y$1&lt;VLOOKUP($A28,kritische_breedtes[#All],2,FALSE),"rood",IF(Y$1&lt;VLOOKUP($A28,kritische_breedtes[#All],3,FALSE),"geel","groen"))</f>
        <v>groen</v>
      </c>
      <c r="Z28" t="str">
        <f>IF(Z$1&lt;VLOOKUP($A28,kritische_breedtes[#All],2,FALSE),"rood",IF(Z$1&lt;VLOOKUP($A28,kritische_breedtes[#All],3,FALSE),"geel","groen"))</f>
        <v>groen</v>
      </c>
      <c r="AA28" t="str">
        <f>IF(AA$1&lt;VLOOKUP($A28,kritische_breedtes[#All],2,FALSE),"rood",IF(AA$1&lt;VLOOKUP($A28,kritische_breedtes[#All],3,FALSE),"geel","groen"))</f>
        <v>groen</v>
      </c>
      <c r="AB28" t="str">
        <f>IF(AB$1&lt;VLOOKUP($A28,kritische_breedtes[#All],2,FALSE),"rood",IF(AB$1&lt;VLOOKUP($A28,kritische_breedtes[#All],3,FALSE),"geel","groen"))</f>
        <v>groen</v>
      </c>
      <c r="AC28" t="str">
        <f>IF(AC$1&lt;VLOOKUP($A28,kritische_breedtes[#All],2,FALSE),"rood",IF(AC$1&lt;VLOOKUP($A28,kritische_breedtes[#All],3,FALSE),"geel","groen"))</f>
        <v>groen</v>
      </c>
      <c r="AD28" t="str">
        <f>IF(AD$1&lt;VLOOKUP($A28,kritische_breedtes[#All],2,FALSE),"rood",IF(AD$1&lt;VLOOKUP($A28,kritische_breedtes[#All],3,FALSE),"geel","groen"))</f>
        <v>groen</v>
      </c>
    </row>
    <row r="29" spans="1:30">
      <c r="A29" t="s">
        <v>134</v>
      </c>
      <c r="B29">
        <f>B24*duofietsers_var2*(1-vrachtverkeer_var2)*vrachtverkeer_var2+B24*duofietsers_var2*vrachtverkeer_var2*(1-vrachtverkeer_var2)</f>
        <v>0.11538728810457513</v>
      </c>
      <c r="C29" t="str">
        <f>IF(C$1&lt;VLOOKUP($A29,kritische_breedtes[#All],2,FALSE),"rood",IF(C$1&lt;VLOOKUP($A29,kritische_breedtes[#All],3,FALSE),"geel","groen"))</f>
        <v>rood</v>
      </c>
      <c r="D29" t="str">
        <f>IF(D$1&lt;VLOOKUP($A29,kritische_breedtes[#All],2,FALSE),"rood",IF(D$1&lt;VLOOKUP($A29,kritische_breedtes[#All],3,FALSE),"geel","groen"))</f>
        <v>rood</v>
      </c>
      <c r="E29" t="str">
        <f>IF(E$1&lt;VLOOKUP($A29,kritische_breedtes[#All],2,FALSE),"rood",IF(E$1&lt;VLOOKUP($A29,kritische_breedtes[#All],3,FALSE),"geel","groen"))</f>
        <v>rood</v>
      </c>
      <c r="F29" t="str">
        <f>IF(F$1&lt;VLOOKUP($A29,kritische_breedtes[#All],2,FALSE),"rood",IF(F$1&lt;VLOOKUP($A29,kritische_breedtes[#All],3,FALSE),"geel","groen"))</f>
        <v>rood</v>
      </c>
      <c r="G29" t="str">
        <f>IF(G$1&lt;VLOOKUP($A29,kritische_breedtes[#All],2,FALSE),"rood",IF(G$1&lt;VLOOKUP($A29,kritische_breedtes[#All],3,FALSE),"geel","groen"))</f>
        <v>rood</v>
      </c>
      <c r="H29" t="str">
        <f>IF(H$1&lt;VLOOKUP($A29,kritische_breedtes[#All],2,FALSE),"rood",IF(H$1&lt;VLOOKUP($A29,kritische_breedtes[#All],3,FALSE),"geel","groen"))</f>
        <v>rood</v>
      </c>
      <c r="I29" t="str">
        <f>IF(I$1&lt;VLOOKUP($A29,kritische_breedtes[#All],2,FALSE),"rood",IF(I$1&lt;VLOOKUP($A29,kritische_breedtes[#All],3,FALSE),"geel","groen"))</f>
        <v>rood</v>
      </c>
      <c r="J29" t="str">
        <f>IF(J$1&lt;VLOOKUP($A29,kritische_breedtes[#All],2,FALSE),"rood",IF(J$1&lt;VLOOKUP($A29,kritische_breedtes[#All],3,FALSE),"geel","groen"))</f>
        <v>rood</v>
      </c>
      <c r="K29" t="str">
        <f>IF(K$1&lt;VLOOKUP($A29,kritische_breedtes[#All],2,FALSE),"rood",IF(K$1&lt;VLOOKUP($A29,kritische_breedtes[#All],3,FALSE),"geel","groen"))</f>
        <v>rood</v>
      </c>
      <c r="L29" t="str">
        <f>IF(L$1&lt;VLOOKUP($A29,kritische_breedtes[#All],2,FALSE),"rood",IF(L$1&lt;VLOOKUP($A29,kritische_breedtes[#All],3,FALSE),"geel","groen"))</f>
        <v>rood</v>
      </c>
      <c r="M29" t="str">
        <f>IF(M$1&lt;VLOOKUP($A29,kritische_breedtes[#All],2,FALSE),"rood",IF(M$1&lt;VLOOKUP($A29,kritische_breedtes[#All],3,FALSE),"geel","groen"))</f>
        <v>rood</v>
      </c>
      <c r="N29" t="str">
        <f>IF(N$1&lt;VLOOKUP($A29,kritische_breedtes[#All],2,FALSE),"rood",IF(N$1&lt;VLOOKUP($A29,kritische_breedtes[#All],3,FALSE),"geel","groen"))</f>
        <v>rood</v>
      </c>
      <c r="O29" t="str">
        <f>IF(O$1&lt;VLOOKUP($A29,kritische_breedtes[#All],2,FALSE),"rood",IF(O$1&lt;VLOOKUP($A29,kritische_breedtes[#All],3,FALSE),"geel","groen"))</f>
        <v>rood</v>
      </c>
      <c r="P29" t="str">
        <f>IF(P$1&lt;VLOOKUP($A29,kritische_breedtes[#All],2,FALSE),"rood",IF(P$1&lt;VLOOKUP($A29,kritische_breedtes[#All],3,FALSE),"geel","groen"))</f>
        <v>geel</v>
      </c>
      <c r="Q29" t="str">
        <f>IF(Q$1&lt;VLOOKUP($A29,kritische_breedtes[#All],2,FALSE),"rood",IF(Q$1&lt;VLOOKUP($A29,kritische_breedtes[#All],3,FALSE),"geel","groen"))</f>
        <v>geel</v>
      </c>
      <c r="R29" t="str">
        <f>IF(R$1&lt;VLOOKUP($A29,kritische_breedtes[#All],2,FALSE),"rood",IF(R$1&lt;VLOOKUP($A29,kritische_breedtes[#All],3,FALSE),"geel","groen"))</f>
        <v>geel</v>
      </c>
      <c r="S29" t="str">
        <f>IF(S$1&lt;VLOOKUP($A29,kritische_breedtes[#All],2,FALSE),"rood",IF(S$1&lt;VLOOKUP($A29,kritische_breedtes[#All],3,FALSE),"geel","groen"))</f>
        <v>geel</v>
      </c>
      <c r="T29" t="str">
        <f>IF(T$1&lt;VLOOKUP($A29,kritische_breedtes[#All],2,FALSE),"rood",IF(T$1&lt;VLOOKUP($A29,kritische_breedtes[#All],3,FALSE),"geel","groen"))</f>
        <v>geel</v>
      </c>
      <c r="U29" t="str">
        <f>IF(U$1&lt;VLOOKUP($A29,kritische_breedtes[#All],2,FALSE),"rood",IF(U$1&lt;VLOOKUP($A29,kritische_breedtes[#All],3,FALSE),"geel","groen"))</f>
        <v>groen</v>
      </c>
      <c r="V29" t="str">
        <f>IF(V$1&lt;VLOOKUP($A29,kritische_breedtes[#All],2,FALSE),"rood",IF(V$1&lt;VLOOKUP($A29,kritische_breedtes[#All],3,FALSE),"geel","groen"))</f>
        <v>groen</v>
      </c>
      <c r="W29" t="str">
        <f>IF(W$1&lt;VLOOKUP($A29,kritische_breedtes[#All],2,FALSE),"rood",IF(W$1&lt;VLOOKUP($A29,kritische_breedtes[#All],3,FALSE),"geel","groen"))</f>
        <v>groen</v>
      </c>
      <c r="X29" t="str">
        <f>IF(X$1&lt;VLOOKUP($A29,kritische_breedtes[#All],2,FALSE),"rood",IF(X$1&lt;VLOOKUP($A29,kritische_breedtes[#All],3,FALSE),"geel","groen"))</f>
        <v>groen</v>
      </c>
      <c r="Y29" t="str">
        <f>IF(Y$1&lt;VLOOKUP($A29,kritische_breedtes[#All],2,FALSE),"rood",IF(Y$1&lt;VLOOKUP($A29,kritische_breedtes[#All],3,FALSE),"geel","groen"))</f>
        <v>groen</v>
      </c>
      <c r="Z29" t="str">
        <f>IF(Z$1&lt;VLOOKUP($A29,kritische_breedtes[#All],2,FALSE),"rood",IF(Z$1&lt;VLOOKUP($A29,kritische_breedtes[#All],3,FALSE),"geel","groen"))</f>
        <v>groen</v>
      </c>
      <c r="AA29" t="str">
        <f>IF(AA$1&lt;VLOOKUP($A29,kritische_breedtes[#All],2,FALSE),"rood",IF(AA$1&lt;VLOOKUP($A29,kritische_breedtes[#All],3,FALSE),"geel","groen"))</f>
        <v>groen</v>
      </c>
      <c r="AB29" t="str">
        <f>IF(AB$1&lt;VLOOKUP($A29,kritische_breedtes[#All],2,FALSE),"rood",IF(AB$1&lt;VLOOKUP($A29,kritische_breedtes[#All],3,FALSE),"geel","groen"))</f>
        <v>groen</v>
      </c>
      <c r="AC29" t="str">
        <f>IF(AC$1&lt;VLOOKUP($A29,kritische_breedtes[#All],2,FALSE),"rood",IF(AC$1&lt;VLOOKUP($A29,kritische_breedtes[#All],3,FALSE),"geel","groen"))</f>
        <v>groen</v>
      </c>
      <c r="AD29" t="str">
        <f>IF(AD$1&lt;VLOOKUP($A29,kritische_breedtes[#All],2,FALSE),"rood",IF(AD$1&lt;VLOOKUP($A29,kritische_breedtes[#All],3,FALSE),"geel","groen"))</f>
        <v>groen</v>
      </c>
    </row>
    <row r="30" spans="1:30">
      <c r="A30" t="s">
        <v>137</v>
      </c>
      <c r="B30">
        <f>B24*duofietsers_var2*vrachtverkeer_var2*vrachtverkeer_var2</f>
        <v>1.1774213071895421E-3</v>
      </c>
      <c r="C30" t="str">
        <f>IF(C$1&lt;VLOOKUP($A30,kritische_breedtes[#All],2,FALSE),"rood",IF(C$1&lt;VLOOKUP($A30,kritische_breedtes[#All],3,FALSE),"geel","groen"))</f>
        <v>rood</v>
      </c>
      <c r="D30" t="str">
        <f>IF(D$1&lt;VLOOKUP($A30,kritische_breedtes[#All],2,FALSE),"rood",IF(D$1&lt;VLOOKUP($A30,kritische_breedtes[#All],3,FALSE),"geel","groen"))</f>
        <v>rood</v>
      </c>
      <c r="E30" t="str">
        <f>IF(E$1&lt;VLOOKUP($A30,kritische_breedtes[#All],2,FALSE),"rood",IF(E$1&lt;VLOOKUP($A30,kritische_breedtes[#All],3,FALSE),"geel","groen"))</f>
        <v>rood</v>
      </c>
      <c r="F30" t="str">
        <f>IF(F$1&lt;VLOOKUP($A30,kritische_breedtes[#All],2,FALSE),"rood",IF(F$1&lt;VLOOKUP($A30,kritische_breedtes[#All],3,FALSE),"geel","groen"))</f>
        <v>rood</v>
      </c>
      <c r="G30" t="str">
        <f>IF(G$1&lt;VLOOKUP($A30,kritische_breedtes[#All],2,FALSE),"rood",IF(G$1&lt;VLOOKUP($A30,kritische_breedtes[#All],3,FALSE),"geel","groen"))</f>
        <v>rood</v>
      </c>
      <c r="H30" t="str">
        <f>IF(H$1&lt;VLOOKUP($A30,kritische_breedtes[#All],2,FALSE),"rood",IF(H$1&lt;VLOOKUP($A30,kritische_breedtes[#All],3,FALSE),"geel","groen"))</f>
        <v>rood</v>
      </c>
      <c r="I30" t="str">
        <f>IF(I$1&lt;VLOOKUP($A30,kritische_breedtes[#All],2,FALSE),"rood",IF(I$1&lt;VLOOKUP($A30,kritische_breedtes[#All],3,FALSE),"geel","groen"))</f>
        <v>rood</v>
      </c>
      <c r="J30" t="str">
        <f>IF(J$1&lt;VLOOKUP($A30,kritische_breedtes[#All],2,FALSE),"rood",IF(J$1&lt;VLOOKUP($A30,kritische_breedtes[#All],3,FALSE),"geel","groen"))</f>
        <v>rood</v>
      </c>
      <c r="K30" t="str">
        <f>IF(K$1&lt;VLOOKUP($A30,kritische_breedtes[#All],2,FALSE),"rood",IF(K$1&lt;VLOOKUP($A30,kritische_breedtes[#All],3,FALSE),"geel","groen"))</f>
        <v>rood</v>
      </c>
      <c r="L30" t="str">
        <f>IF(L$1&lt;VLOOKUP($A30,kritische_breedtes[#All],2,FALSE),"rood",IF(L$1&lt;VLOOKUP($A30,kritische_breedtes[#All],3,FALSE),"geel","groen"))</f>
        <v>rood</v>
      </c>
      <c r="M30" t="str">
        <f>IF(M$1&lt;VLOOKUP($A30,kritische_breedtes[#All],2,FALSE),"rood",IF(M$1&lt;VLOOKUP($A30,kritische_breedtes[#All],3,FALSE),"geel","groen"))</f>
        <v>rood</v>
      </c>
      <c r="N30" t="str">
        <f>IF(N$1&lt;VLOOKUP($A30,kritische_breedtes[#All],2,FALSE),"rood",IF(N$1&lt;VLOOKUP($A30,kritische_breedtes[#All],3,FALSE),"geel","groen"))</f>
        <v>rood</v>
      </c>
      <c r="O30" t="str">
        <f>IF(O$1&lt;VLOOKUP($A30,kritische_breedtes[#All],2,FALSE),"rood",IF(O$1&lt;VLOOKUP($A30,kritische_breedtes[#All],3,FALSE),"geel","groen"))</f>
        <v>rood</v>
      </c>
      <c r="P30" t="str">
        <f>IF(P$1&lt;VLOOKUP($A30,kritische_breedtes[#All],2,FALSE),"rood",IF(P$1&lt;VLOOKUP($A30,kritische_breedtes[#All],3,FALSE),"geel","groen"))</f>
        <v>rood</v>
      </c>
      <c r="Q30" t="str">
        <f>IF(Q$1&lt;VLOOKUP($A30,kritische_breedtes[#All],2,FALSE),"rood",IF(Q$1&lt;VLOOKUP($A30,kritische_breedtes[#All],3,FALSE),"geel","groen"))</f>
        <v>rood</v>
      </c>
      <c r="R30" t="str">
        <f>IF(R$1&lt;VLOOKUP($A30,kritische_breedtes[#All],2,FALSE),"rood",IF(R$1&lt;VLOOKUP($A30,kritische_breedtes[#All],3,FALSE),"geel","groen"))</f>
        <v>rood</v>
      </c>
      <c r="S30" t="str">
        <f>IF(S$1&lt;VLOOKUP($A30,kritische_breedtes[#All],2,FALSE),"rood",IF(S$1&lt;VLOOKUP($A30,kritische_breedtes[#All],3,FALSE),"geel","groen"))</f>
        <v>rood</v>
      </c>
      <c r="T30" t="str">
        <f>IF(T$1&lt;VLOOKUP($A30,kritische_breedtes[#All],2,FALSE),"rood",IF(T$1&lt;VLOOKUP($A30,kritische_breedtes[#All],3,FALSE),"geel","groen"))</f>
        <v>geel</v>
      </c>
      <c r="U30" t="str">
        <f>IF(U$1&lt;VLOOKUP($A30,kritische_breedtes[#All],2,FALSE),"rood",IF(U$1&lt;VLOOKUP($A30,kritische_breedtes[#All],3,FALSE),"geel","groen"))</f>
        <v>geel</v>
      </c>
      <c r="V30" t="str">
        <f>IF(V$1&lt;VLOOKUP($A30,kritische_breedtes[#All],2,FALSE),"rood",IF(V$1&lt;VLOOKUP($A30,kritische_breedtes[#All],3,FALSE),"geel","groen"))</f>
        <v>geel</v>
      </c>
      <c r="W30" t="str">
        <f>IF(W$1&lt;VLOOKUP($A30,kritische_breedtes[#All],2,FALSE),"rood",IF(W$1&lt;VLOOKUP($A30,kritische_breedtes[#All],3,FALSE),"geel","groen"))</f>
        <v>geel</v>
      </c>
      <c r="X30" t="str">
        <f>IF(X$1&lt;VLOOKUP($A30,kritische_breedtes[#All],2,FALSE),"rood",IF(X$1&lt;VLOOKUP($A30,kritische_breedtes[#All],3,FALSE),"geel","groen"))</f>
        <v>groen</v>
      </c>
      <c r="Y30" t="str">
        <f>IF(Y$1&lt;VLOOKUP($A30,kritische_breedtes[#All],2,FALSE),"rood",IF(Y$1&lt;VLOOKUP($A30,kritische_breedtes[#All],3,FALSE),"geel","groen"))</f>
        <v>groen</v>
      </c>
      <c r="Z30" t="str">
        <f>IF(Z$1&lt;VLOOKUP($A30,kritische_breedtes[#All],2,FALSE),"rood",IF(Z$1&lt;VLOOKUP($A30,kritische_breedtes[#All],3,FALSE),"geel","groen"))</f>
        <v>groen</v>
      </c>
      <c r="AA30" t="str">
        <f>IF(AA$1&lt;VLOOKUP($A30,kritische_breedtes[#All],2,FALSE),"rood",IF(AA$1&lt;VLOOKUP($A30,kritische_breedtes[#All],3,FALSE),"geel","groen"))</f>
        <v>groen</v>
      </c>
      <c r="AB30" t="str">
        <f>IF(AB$1&lt;VLOOKUP($A30,kritische_breedtes[#All],2,FALSE),"rood",IF(AB$1&lt;VLOOKUP($A30,kritische_breedtes[#All],3,FALSE),"geel","groen"))</f>
        <v>groen</v>
      </c>
      <c r="AC30" t="str">
        <f>IF(AC$1&lt;VLOOKUP($A30,kritische_breedtes[#All],2,FALSE),"rood",IF(AC$1&lt;VLOOKUP($A30,kritische_breedtes[#All],3,FALSE),"geel","groen"))</f>
        <v>groen</v>
      </c>
      <c r="AD30" t="str">
        <f>IF(AD$1&lt;VLOOKUP($A30,kritische_breedtes[#All],2,FALSE),"rood",IF(AD$1&lt;VLOOKUP($A30,kritische_breedtes[#All],3,FALSE),"geel","groen"))</f>
        <v>groen</v>
      </c>
    </row>
    <row r="32" spans="1:30">
      <c r="A32" t="s">
        <v>187</v>
      </c>
      <c r="B32">
        <f>i_fiets_sec_ri1_var2*i_auto_sec_ri1_var2*(t_fiets_var2-t_auto_var2)*i_auto_sec_ri2_var2*t_inhalen_var2*i_fiets_sec_ri2_var2*t_inhalen_var2*periode+i_fiets_sec_ri2_var2*i_auto_sec_ri2_var2*(t_fiets_var2-t_auto_var2)*i_auto_sec_ri1_var2*t_inhalen_var2*i_fiets_sec_ri1_var2*t_inhalen_var2*periode</f>
        <v>13.953356209150321</v>
      </c>
    </row>
    <row r="33" spans="1:30">
      <c r="A33" t="s">
        <v>144</v>
      </c>
      <c r="B33">
        <f>B32*(1-duofietsers_var2)*(1-vrachtverkeer_var2)*(1-vrachtverkeer_var2)*(1-duofietsers_var2)</f>
        <v>10.854650675647054</v>
      </c>
      <c r="C33" t="str">
        <f>IF(C$1&lt;VLOOKUP($A33,kritische_breedtes[#All],2,FALSE),"rood",IF(C$1&lt;VLOOKUP($A33,kritische_breedtes[#All],3,FALSE),"geel","groen"))</f>
        <v>rood</v>
      </c>
      <c r="D33" t="str">
        <f>IF(D$1&lt;VLOOKUP($A33,kritische_breedtes[#All],2,FALSE),"rood",IF(D$1&lt;VLOOKUP($A33,kritische_breedtes[#All],3,FALSE),"geel","groen"))</f>
        <v>rood</v>
      </c>
      <c r="E33" t="str">
        <f>IF(E$1&lt;VLOOKUP($A33,kritische_breedtes[#All],2,FALSE),"rood",IF(E$1&lt;VLOOKUP($A33,kritische_breedtes[#All],3,FALSE),"geel","groen"))</f>
        <v>rood</v>
      </c>
      <c r="F33" t="str">
        <f>IF(F$1&lt;VLOOKUP($A33,kritische_breedtes[#All],2,FALSE),"rood",IF(F$1&lt;VLOOKUP($A33,kritische_breedtes[#All],3,FALSE),"geel","groen"))</f>
        <v>rood</v>
      </c>
      <c r="G33" t="str">
        <f>IF(G$1&lt;VLOOKUP($A33,kritische_breedtes[#All],2,FALSE),"rood",IF(G$1&lt;VLOOKUP($A33,kritische_breedtes[#All],3,FALSE),"geel","groen"))</f>
        <v>rood</v>
      </c>
      <c r="H33" t="str">
        <f>IF(H$1&lt;VLOOKUP($A33,kritische_breedtes[#All],2,FALSE),"rood",IF(H$1&lt;VLOOKUP($A33,kritische_breedtes[#All],3,FALSE),"geel","groen"))</f>
        <v>rood</v>
      </c>
      <c r="I33" t="str">
        <f>IF(I$1&lt;VLOOKUP($A33,kritische_breedtes[#All],2,FALSE),"rood",IF(I$1&lt;VLOOKUP($A33,kritische_breedtes[#All],3,FALSE),"geel","groen"))</f>
        <v>rood</v>
      </c>
      <c r="J33" t="str">
        <f>IF(J$1&lt;VLOOKUP($A33,kritische_breedtes[#All],2,FALSE),"rood",IF(J$1&lt;VLOOKUP($A33,kritische_breedtes[#All],3,FALSE),"geel","groen"))</f>
        <v>rood</v>
      </c>
      <c r="K33" t="str">
        <f>IF(K$1&lt;VLOOKUP($A33,kritische_breedtes[#All],2,FALSE),"rood",IF(K$1&lt;VLOOKUP($A33,kritische_breedtes[#All],3,FALSE),"geel","groen"))</f>
        <v>rood</v>
      </c>
      <c r="L33" t="str">
        <f>IF(L$1&lt;VLOOKUP($A33,kritische_breedtes[#All],2,FALSE),"rood",IF(L$1&lt;VLOOKUP($A33,kritische_breedtes[#All],3,FALSE),"geel","groen"))</f>
        <v>rood</v>
      </c>
      <c r="M33" t="str">
        <f>IF(M$1&lt;VLOOKUP($A33,kritische_breedtes[#All],2,FALSE),"rood",IF(M$1&lt;VLOOKUP($A33,kritische_breedtes[#All],3,FALSE),"geel","groen"))</f>
        <v>rood</v>
      </c>
      <c r="N33" t="str">
        <f>IF(N$1&lt;VLOOKUP($A33,kritische_breedtes[#All],2,FALSE),"rood",IF(N$1&lt;VLOOKUP($A33,kritische_breedtes[#All],3,FALSE),"geel","groen"))</f>
        <v>rood</v>
      </c>
      <c r="O33" t="str">
        <f>IF(O$1&lt;VLOOKUP($A33,kritische_breedtes[#All],2,FALSE),"rood",IF(O$1&lt;VLOOKUP($A33,kritische_breedtes[#All],3,FALSE),"geel","groen"))</f>
        <v>rood</v>
      </c>
      <c r="P33" t="str">
        <f>IF(P$1&lt;VLOOKUP($A33,kritische_breedtes[#All],2,FALSE),"rood",IF(P$1&lt;VLOOKUP($A33,kritische_breedtes[#All],3,FALSE),"geel","groen"))</f>
        <v>rood</v>
      </c>
      <c r="Q33" t="str">
        <f>IF(Q$1&lt;VLOOKUP($A33,kritische_breedtes[#All],2,FALSE),"rood",IF(Q$1&lt;VLOOKUP($A33,kritische_breedtes[#All],3,FALSE),"geel","groen"))</f>
        <v>geel</v>
      </c>
      <c r="R33" t="str">
        <f>IF(R$1&lt;VLOOKUP($A33,kritische_breedtes[#All],2,FALSE),"rood",IF(R$1&lt;VLOOKUP($A33,kritische_breedtes[#All],3,FALSE),"geel","groen"))</f>
        <v>geel</v>
      </c>
      <c r="S33" t="str">
        <f>IF(S$1&lt;VLOOKUP($A33,kritische_breedtes[#All],2,FALSE),"rood",IF(S$1&lt;VLOOKUP($A33,kritische_breedtes[#All],3,FALSE),"geel","groen"))</f>
        <v>geel</v>
      </c>
      <c r="T33" t="str">
        <f>IF(T$1&lt;VLOOKUP($A33,kritische_breedtes[#All],2,FALSE),"rood",IF(T$1&lt;VLOOKUP($A33,kritische_breedtes[#All],3,FALSE),"geel","groen"))</f>
        <v>geel</v>
      </c>
      <c r="U33" t="str">
        <f>IF(U$1&lt;VLOOKUP($A33,kritische_breedtes[#All],2,FALSE),"rood",IF(U$1&lt;VLOOKUP($A33,kritische_breedtes[#All],3,FALSE),"geel","groen"))</f>
        <v>geel</v>
      </c>
      <c r="V33" t="str">
        <f>IF(V$1&lt;VLOOKUP($A33,kritische_breedtes[#All],2,FALSE),"rood",IF(V$1&lt;VLOOKUP($A33,kritische_breedtes[#All],3,FALSE),"geel","groen"))</f>
        <v>groen</v>
      </c>
      <c r="W33" t="str">
        <f>IF(W$1&lt;VLOOKUP($A33,kritische_breedtes[#All],2,FALSE),"rood",IF(W$1&lt;VLOOKUP($A33,kritische_breedtes[#All],3,FALSE),"geel","groen"))</f>
        <v>groen</v>
      </c>
      <c r="X33" t="str">
        <f>IF(X$1&lt;VLOOKUP($A33,kritische_breedtes[#All],2,FALSE),"rood",IF(X$1&lt;VLOOKUP($A33,kritische_breedtes[#All],3,FALSE),"geel","groen"))</f>
        <v>groen</v>
      </c>
      <c r="Y33" t="str">
        <f>IF(Y$1&lt;VLOOKUP($A33,kritische_breedtes[#All],2,FALSE),"rood",IF(Y$1&lt;VLOOKUP($A33,kritische_breedtes[#All],3,FALSE),"geel","groen"))</f>
        <v>groen</v>
      </c>
      <c r="Z33" t="str">
        <f>IF(Z$1&lt;VLOOKUP($A33,kritische_breedtes[#All],2,FALSE),"rood",IF(Z$1&lt;VLOOKUP($A33,kritische_breedtes[#All],3,FALSE),"geel","groen"))</f>
        <v>groen</v>
      </c>
      <c r="AA33" t="str">
        <f>IF(AA$1&lt;VLOOKUP($A33,kritische_breedtes[#All],2,FALSE),"rood",IF(AA$1&lt;VLOOKUP($A33,kritische_breedtes[#All],3,FALSE),"geel","groen"))</f>
        <v>groen</v>
      </c>
      <c r="AB33" t="str">
        <f>IF(AB$1&lt;VLOOKUP($A33,kritische_breedtes[#All],2,FALSE),"rood",IF(AB$1&lt;VLOOKUP($A33,kritische_breedtes[#All],3,FALSE),"geel","groen"))</f>
        <v>groen</v>
      </c>
      <c r="AC33" t="str">
        <f>IF(AC$1&lt;VLOOKUP($A33,kritische_breedtes[#All],2,FALSE),"rood",IF(AC$1&lt;VLOOKUP($A33,kritische_breedtes[#All],3,FALSE),"geel","groen"))</f>
        <v>groen</v>
      </c>
      <c r="AD33" t="str">
        <f>IF(AD$1&lt;VLOOKUP($A33,kritische_breedtes[#All],2,FALSE),"rood",IF(AD$1&lt;VLOOKUP($A33,kritische_breedtes[#All],3,FALSE),"geel","groen"))</f>
        <v>groen</v>
      </c>
    </row>
    <row r="34" spans="1:30">
      <c r="A34" t="s">
        <v>149</v>
      </c>
      <c r="B34">
        <f>B32*duofietsers_var2*(1-vrachtverkeer_var2)*(1-vrachtverkeer_var2)*(1-duofietsers_var2)+B32*(1-duofietsers_var2)*(1-vrachtverkeer_var2)*(1-vrachtverkeer_var2)*duofietsers_var2</f>
        <v>2.4121445945882343</v>
      </c>
      <c r="C34" t="str">
        <f>IF(C$1&lt;VLOOKUP($A34,kritische_breedtes[#All],2,FALSE),"rood",IF(C$1&lt;VLOOKUP($A34,kritische_breedtes[#All],3,FALSE),"geel","groen"))</f>
        <v>rood</v>
      </c>
      <c r="D34" t="str">
        <f>IF(D$1&lt;VLOOKUP($A34,kritische_breedtes[#All],2,FALSE),"rood",IF(D$1&lt;VLOOKUP($A34,kritische_breedtes[#All],3,FALSE),"geel","groen"))</f>
        <v>rood</v>
      </c>
      <c r="E34" t="str">
        <f>IF(E$1&lt;VLOOKUP($A34,kritische_breedtes[#All],2,FALSE),"rood",IF(E$1&lt;VLOOKUP($A34,kritische_breedtes[#All],3,FALSE),"geel","groen"))</f>
        <v>rood</v>
      </c>
      <c r="F34" t="str">
        <f>IF(F$1&lt;VLOOKUP($A34,kritische_breedtes[#All],2,FALSE),"rood",IF(F$1&lt;VLOOKUP($A34,kritische_breedtes[#All],3,FALSE),"geel","groen"))</f>
        <v>rood</v>
      </c>
      <c r="G34" t="str">
        <f>IF(G$1&lt;VLOOKUP($A34,kritische_breedtes[#All],2,FALSE),"rood",IF(G$1&lt;VLOOKUP($A34,kritische_breedtes[#All],3,FALSE),"geel","groen"))</f>
        <v>rood</v>
      </c>
      <c r="H34" t="str">
        <f>IF(H$1&lt;VLOOKUP($A34,kritische_breedtes[#All],2,FALSE),"rood",IF(H$1&lt;VLOOKUP($A34,kritische_breedtes[#All],3,FALSE),"geel","groen"))</f>
        <v>rood</v>
      </c>
      <c r="I34" t="str">
        <f>IF(I$1&lt;VLOOKUP($A34,kritische_breedtes[#All],2,FALSE),"rood",IF(I$1&lt;VLOOKUP($A34,kritische_breedtes[#All],3,FALSE),"geel","groen"))</f>
        <v>rood</v>
      </c>
      <c r="J34" t="str">
        <f>IF(J$1&lt;VLOOKUP($A34,kritische_breedtes[#All],2,FALSE),"rood",IF(J$1&lt;VLOOKUP($A34,kritische_breedtes[#All],3,FALSE),"geel","groen"))</f>
        <v>rood</v>
      </c>
      <c r="K34" t="str">
        <f>IF(K$1&lt;VLOOKUP($A34,kritische_breedtes[#All],2,FALSE),"rood",IF(K$1&lt;VLOOKUP($A34,kritische_breedtes[#All],3,FALSE),"geel","groen"))</f>
        <v>rood</v>
      </c>
      <c r="L34" t="str">
        <f>IF(L$1&lt;VLOOKUP($A34,kritische_breedtes[#All],2,FALSE),"rood",IF(L$1&lt;VLOOKUP($A34,kritische_breedtes[#All],3,FALSE),"geel","groen"))</f>
        <v>rood</v>
      </c>
      <c r="M34" t="str">
        <f>IF(M$1&lt;VLOOKUP($A34,kritische_breedtes[#All],2,FALSE),"rood",IF(M$1&lt;VLOOKUP($A34,kritische_breedtes[#All],3,FALSE),"geel","groen"))</f>
        <v>rood</v>
      </c>
      <c r="N34" t="str">
        <f>IF(N$1&lt;VLOOKUP($A34,kritische_breedtes[#All],2,FALSE),"rood",IF(N$1&lt;VLOOKUP($A34,kritische_breedtes[#All],3,FALSE),"geel","groen"))</f>
        <v>rood</v>
      </c>
      <c r="O34" t="str">
        <f>IF(O$1&lt;VLOOKUP($A34,kritische_breedtes[#All],2,FALSE),"rood",IF(O$1&lt;VLOOKUP($A34,kritische_breedtes[#All],3,FALSE),"geel","groen"))</f>
        <v>rood</v>
      </c>
      <c r="P34" t="str">
        <f>IF(P$1&lt;VLOOKUP($A34,kritische_breedtes[#All],2,FALSE),"rood",IF(P$1&lt;VLOOKUP($A34,kritische_breedtes[#All],3,FALSE),"geel","groen"))</f>
        <v>rood</v>
      </c>
      <c r="Q34" t="str">
        <f>IF(Q$1&lt;VLOOKUP($A34,kritische_breedtes[#All],2,FALSE),"rood",IF(Q$1&lt;VLOOKUP($A34,kritische_breedtes[#All],3,FALSE),"geel","groen"))</f>
        <v>rood</v>
      </c>
      <c r="R34" t="str">
        <f>IF(R$1&lt;VLOOKUP($A34,kritische_breedtes[#All],2,FALSE),"rood",IF(R$1&lt;VLOOKUP($A34,kritische_breedtes[#All],3,FALSE),"geel","groen"))</f>
        <v>rood</v>
      </c>
      <c r="S34" t="str">
        <f>IF(S$1&lt;VLOOKUP($A34,kritische_breedtes[#All],2,FALSE),"rood",IF(S$1&lt;VLOOKUP($A34,kritische_breedtes[#All],3,FALSE),"geel","groen"))</f>
        <v>rood</v>
      </c>
      <c r="T34" t="str">
        <f>IF(T$1&lt;VLOOKUP($A34,kritische_breedtes[#All],2,FALSE),"rood",IF(T$1&lt;VLOOKUP($A34,kritische_breedtes[#All],3,FALSE),"geel","groen"))</f>
        <v>rood</v>
      </c>
      <c r="U34" t="str">
        <f>IF(U$1&lt;VLOOKUP($A34,kritische_breedtes[#All],2,FALSE),"rood",IF(U$1&lt;VLOOKUP($A34,kritische_breedtes[#All],3,FALSE),"geel","groen"))</f>
        <v>geel</v>
      </c>
      <c r="V34" t="str">
        <f>IF(V$1&lt;VLOOKUP($A34,kritische_breedtes[#All],2,FALSE),"rood",IF(V$1&lt;VLOOKUP($A34,kritische_breedtes[#All],3,FALSE),"geel","groen"))</f>
        <v>geel</v>
      </c>
      <c r="W34" t="str">
        <f>IF(W$1&lt;VLOOKUP($A34,kritische_breedtes[#All],2,FALSE),"rood",IF(W$1&lt;VLOOKUP($A34,kritische_breedtes[#All],3,FALSE),"geel","groen"))</f>
        <v>geel</v>
      </c>
      <c r="X34" t="str">
        <f>IF(X$1&lt;VLOOKUP($A34,kritische_breedtes[#All],2,FALSE),"rood",IF(X$1&lt;VLOOKUP($A34,kritische_breedtes[#All],3,FALSE),"geel","groen"))</f>
        <v>geel</v>
      </c>
      <c r="Y34" t="str">
        <f>IF(Y$1&lt;VLOOKUP($A34,kritische_breedtes[#All],2,FALSE),"rood",IF(Y$1&lt;VLOOKUP($A34,kritische_breedtes[#All],3,FALSE),"geel","groen"))</f>
        <v>groen</v>
      </c>
      <c r="Z34" t="str">
        <f>IF(Z$1&lt;VLOOKUP($A34,kritische_breedtes[#All],2,FALSE),"rood",IF(Z$1&lt;VLOOKUP($A34,kritische_breedtes[#All],3,FALSE),"geel","groen"))</f>
        <v>groen</v>
      </c>
      <c r="AA34" t="str">
        <f>IF(AA$1&lt;VLOOKUP($A34,kritische_breedtes[#All],2,FALSE),"rood",IF(AA$1&lt;VLOOKUP($A34,kritische_breedtes[#All],3,FALSE),"geel","groen"))</f>
        <v>groen</v>
      </c>
      <c r="AB34" t="str">
        <f>IF(AB$1&lt;VLOOKUP($A34,kritische_breedtes[#All],2,FALSE),"rood",IF(AB$1&lt;VLOOKUP($A34,kritische_breedtes[#All],3,FALSE),"geel","groen"))</f>
        <v>groen</v>
      </c>
      <c r="AC34" t="str">
        <f>IF(AC$1&lt;VLOOKUP($A34,kritische_breedtes[#All],2,FALSE),"rood",IF(AC$1&lt;VLOOKUP($A34,kritische_breedtes[#All],3,FALSE),"geel","groen"))</f>
        <v>groen</v>
      </c>
      <c r="AD34" t="str">
        <f>IF(AD$1&lt;VLOOKUP($A34,kritische_breedtes[#All],2,FALSE),"rood",IF(AD$1&lt;VLOOKUP($A34,kritische_breedtes[#All],3,FALSE),"geel","groen"))</f>
        <v>groen</v>
      </c>
    </row>
    <row r="35" spans="1:30">
      <c r="A35" t="s">
        <v>154</v>
      </c>
      <c r="B35">
        <f>B32*(1-duofietsers_var2)*(1-vrachtverkeer_var2)*vrachtverkeer_var2*(1-duofietsers_var2)+B32*(1-duofietsers_var2)*vrachtverkeer_var2*(1-vrachtverkeer_var2)*(1-duofietsers_var2)</f>
        <v>0.443046966352941</v>
      </c>
      <c r="C35" t="str">
        <f>IF(C$1&lt;VLOOKUP($A35,kritische_breedtes[#All],2,FALSE),"rood",IF(C$1&lt;VLOOKUP($A35,kritische_breedtes[#All],3,FALSE),"geel","groen"))</f>
        <v>rood</v>
      </c>
      <c r="D35" t="str">
        <f>IF(D$1&lt;VLOOKUP($A35,kritische_breedtes[#All],2,FALSE),"rood",IF(D$1&lt;VLOOKUP($A35,kritische_breedtes[#All],3,FALSE),"geel","groen"))</f>
        <v>rood</v>
      </c>
      <c r="E35" t="str">
        <f>IF(E$1&lt;VLOOKUP($A35,kritische_breedtes[#All],2,FALSE),"rood",IF(E$1&lt;VLOOKUP($A35,kritische_breedtes[#All],3,FALSE),"geel","groen"))</f>
        <v>rood</v>
      </c>
      <c r="F35" t="str">
        <f>IF(F$1&lt;VLOOKUP($A35,kritische_breedtes[#All],2,FALSE),"rood",IF(F$1&lt;VLOOKUP($A35,kritische_breedtes[#All],3,FALSE),"geel","groen"))</f>
        <v>rood</v>
      </c>
      <c r="G35" t="str">
        <f>IF(G$1&lt;VLOOKUP($A35,kritische_breedtes[#All],2,FALSE),"rood",IF(G$1&lt;VLOOKUP($A35,kritische_breedtes[#All],3,FALSE),"geel","groen"))</f>
        <v>rood</v>
      </c>
      <c r="H35" t="str">
        <f>IF(H$1&lt;VLOOKUP($A35,kritische_breedtes[#All],2,FALSE),"rood",IF(H$1&lt;VLOOKUP($A35,kritische_breedtes[#All],3,FALSE),"geel","groen"))</f>
        <v>rood</v>
      </c>
      <c r="I35" t="str">
        <f>IF(I$1&lt;VLOOKUP($A35,kritische_breedtes[#All],2,FALSE),"rood",IF(I$1&lt;VLOOKUP($A35,kritische_breedtes[#All],3,FALSE),"geel","groen"))</f>
        <v>rood</v>
      </c>
      <c r="J35" t="str">
        <f>IF(J$1&lt;VLOOKUP($A35,kritische_breedtes[#All],2,FALSE),"rood",IF(J$1&lt;VLOOKUP($A35,kritische_breedtes[#All],3,FALSE),"geel","groen"))</f>
        <v>rood</v>
      </c>
      <c r="K35" t="str">
        <f>IF(K$1&lt;VLOOKUP($A35,kritische_breedtes[#All],2,FALSE),"rood",IF(K$1&lt;VLOOKUP($A35,kritische_breedtes[#All],3,FALSE),"geel","groen"))</f>
        <v>rood</v>
      </c>
      <c r="L35" t="str">
        <f>IF(L$1&lt;VLOOKUP($A35,kritische_breedtes[#All],2,FALSE),"rood",IF(L$1&lt;VLOOKUP($A35,kritische_breedtes[#All],3,FALSE),"geel","groen"))</f>
        <v>rood</v>
      </c>
      <c r="M35" t="str">
        <f>IF(M$1&lt;VLOOKUP($A35,kritische_breedtes[#All],2,FALSE),"rood",IF(M$1&lt;VLOOKUP($A35,kritische_breedtes[#All],3,FALSE),"geel","groen"))</f>
        <v>rood</v>
      </c>
      <c r="N35" t="str">
        <f>IF(N$1&lt;VLOOKUP($A35,kritische_breedtes[#All],2,FALSE),"rood",IF(N$1&lt;VLOOKUP($A35,kritische_breedtes[#All],3,FALSE),"geel","groen"))</f>
        <v>rood</v>
      </c>
      <c r="O35" t="str">
        <f>IF(O$1&lt;VLOOKUP($A35,kritische_breedtes[#All],2,FALSE),"rood",IF(O$1&lt;VLOOKUP($A35,kritische_breedtes[#All],3,FALSE),"geel","groen"))</f>
        <v>rood</v>
      </c>
      <c r="P35" t="str">
        <f>IF(P$1&lt;VLOOKUP($A35,kritische_breedtes[#All],2,FALSE),"rood",IF(P$1&lt;VLOOKUP($A35,kritische_breedtes[#All],3,FALSE),"geel","groen"))</f>
        <v>rood</v>
      </c>
      <c r="Q35" t="str">
        <f>IF(Q$1&lt;VLOOKUP($A35,kritische_breedtes[#All],2,FALSE),"rood",IF(Q$1&lt;VLOOKUP($A35,kritische_breedtes[#All],3,FALSE),"geel","groen"))</f>
        <v>rood</v>
      </c>
      <c r="R35" t="str">
        <f>IF(R$1&lt;VLOOKUP($A35,kritische_breedtes[#All],2,FALSE),"rood",IF(R$1&lt;VLOOKUP($A35,kritische_breedtes[#All],3,FALSE),"geel","groen"))</f>
        <v>rood</v>
      </c>
      <c r="S35" t="str">
        <f>IF(S$1&lt;VLOOKUP($A35,kritische_breedtes[#All],2,FALSE),"rood",IF(S$1&lt;VLOOKUP($A35,kritische_breedtes[#All],3,FALSE),"geel","groen"))</f>
        <v>rood</v>
      </c>
      <c r="T35" t="str">
        <f>IF(T$1&lt;VLOOKUP($A35,kritische_breedtes[#All],2,FALSE),"rood",IF(T$1&lt;VLOOKUP($A35,kritische_breedtes[#All],3,FALSE),"geel","groen"))</f>
        <v>rood</v>
      </c>
      <c r="U35" t="str">
        <f>IF(U$1&lt;VLOOKUP($A35,kritische_breedtes[#All],2,FALSE),"rood",IF(U$1&lt;VLOOKUP($A35,kritische_breedtes[#All],3,FALSE),"geel","groen"))</f>
        <v>geel</v>
      </c>
      <c r="V35" t="str">
        <f>IF(V$1&lt;VLOOKUP($A35,kritische_breedtes[#All],2,FALSE),"rood",IF(V$1&lt;VLOOKUP($A35,kritische_breedtes[#All],3,FALSE),"geel","groen"))</f>
        <v>geel</v>
      </c>
      <c r="W35" t="str">
        <f>IF(W$1&lt;VLOOKUP($A35,kritische_breedtes[#All],2,FALSE),"rood",IF(W$1&lt;VLOOKUP($A35,kritische_breedtes[#All],3,FALSE),"geel","groen"))</f>
        <v>geel</v>
      </c>
      <c r="X35" t="str">
        <f>IF(X$1&lt;VLOOKUP($A35,kritische_breedtes[#All],2,FALSE),"rood",IF(X$1&lt;VLOOKUP($A35,kritische_breedtes[#All],3,FALSE),"geel","groen"))</f>
        <v>geel</v>
      </c>
      <c r="Y35" t="str">
        <f>IF(Y$1&lt;VLOOKUP($A35,kritische_breedtes[#All],2,FALSE),"rood",IF(Y$1&lt;VLOOKUP($A35,kritische_breedtes[#All],3,FALSE),"geel","groen"))</f>
        <v>groen</v>
      </c>
      <c r="Z35" t="str">
        <f>IF(Z$1&lt;VLOOKUP($A35,kritische_breedtes[#All],2,FALSE),"rood",IF(Z$1&lt;VLOOKUP($A35,kritische_breedtes[#All],3,FALSE),"geel","groen"))</f>
        <v>groen</v>
      </c>
      <c r="AA35" t="str">
        <f>IF(AA$1&lt;VLOOKUP($A35,kritische_breedtes[#All],2,FALSE),"rood",IF(AA$1&lt;VLOOKUP($A35,kritische_breedtes[#All],3,FALSE),"geel","groen"))</f>
        <v>groen</v>
      </c>
      <c r="AB35" t="str">
        <f>IF(AB$1&lt;VLOOKUP($A35,kritische_breedtes[#All],2,FALSE),"rood",IF(AB$1&lt;VLOOKUP($A35,kritische_breedtes[#All],3,FALSE),"geel","groen"))</f>
        <v>groen</v>
      </c>
      <c r="AC35" t="str">
        <f>IF(AC$1&lt;VLOOKUP($A35,kritische_breedtes[#All],2,FALSE),"rood",IF(AC$1&lt;VLOOKUP($A35,kritische_breedtes[#All],3,FALSE),"geel","groen"))</f>
        <v>groen</v>
      </c>
      <c r="AD35" t="str">
        <f>IF(AD$1&lt;VLOOKUP($A35,kritische_breedtes[#All],2,FALSE),"rood",IF(AD$1&lt;VLOOKUP($A35,kritische_breedtes[#All],3,FALSE),"geel","groen"))</f>
        <v>groen</v>
      </c>
    </row>
    <row r="36" spans="1:30">
      <c r="A36" t="s">
        <v>157</v>
      </c>
      <c r="B36">
        <f>B32*duofietsers_var2*(1-vrachtverkeer_var2)*vrachtverkeer_var2*(1-duofietsers_var2)+B32*duofietsers_var2*vrachtverkeer_var2*(1-vrachtverkeer_var2)*(1-duofietsers_var2)+B32*(1-duofietsers_var2)*(1-vrachtverkeer_var2)*vrachtverkeer_var2*duofietsers_var2+B32*duofietsers_var2*vrachtverkeer_var2*(1-vrachtverkeer_var2)*(1-duofietsers_var2)</f>
        <v>9.8454881411764672E-2</v>
      </c>
      <c r="C36" t="str">
        <f>IF(C$1&lt;VLOOKUP($A36,kritische_breedtes[#All],2,FALSE),"rood",IF(C$1&lt;VLOOKUP($A36,kritische_breedtes[#All],3,FALSE),"geel","groen"))</f>
        <v>rood</v>
      </c>
      <c r="D36" t="str">
        <f>IF(D$1&lt;VLOOKUP($A36,kritische_breedtes[#All],2,FALSE),"rood",IF(D$1&lt;VLOOKUP($A36,kritische_breedtes[#All],3,FALSE),"geel","groen"))</f>
        <v>rood</v>
      </c>
      <c r="E36" t="str">
        <f>IF(E$1&lt;VLOOKUP($A36,kritische_breedtes[#All],2,FALSE),"rood",IF(E$1&lt;VLOOKUP($A36,kritische_breedtes[#All],3,FALSE),"geel","groen"))</f>
        <v>rood</v>
      </c>
      <c r="F36" t="str">
        <f>IF(F$1&lt;VLOOKUP($A36,kritische_breedtes[#All],2,FALSE),"rood",IF(F$1&lt;VLOOKUP($A36,kritische_breedtes[#All],3,FALSE),"geel","groen"))</f>
        <v>rood</v>
      </c>
      <c r="G36" t="str">
        <f>IF(G$1&lt;VLOOKUP($A36,kritische_breedtes[#All],2,FALSE),"rood",IF(G$1&lt;VLOOKUP($A36,kritische_breedtes[#All],3,FALSE),"geel","groen"))</f>
        <v>rood</v>
      </c>
      <c r="H36" t="str">
        <f>IF(H$1&lt;VLOOKUP($A36,kritische_breedtes[#All],2,FALSE),"rood",IF(H$1&lt;VLOOKUP($A36,kritische_breedtes[#All],3,FALSE),"geel","groen"))</f>
        <v>rood</v>
      </c>
      <c r="I36" t="str">
        <f>IF(I$1&lt;VLOOKUP($A36,kritische_breedtes[#All],2,FALSE),"rood",IF(I$1&lt;VLOOKUP($A36,kritische_breedtes[#All],3,FALSE),"geel","groen"))</f>
        <v>rood</v>
      </c>
      <c r="J36" t="str">
        <f>IF(J$1&lt;VLOOKUP($A36,kritische_breedtes[#All],2,FALSE),"rood",IF(J$1&lt;VLOOKUP($A36,kritische_breedtes[#All],3,FALSE),"geel","groen"))</f>
        <v>rood</v>
      </c>
      <c r="K36" t="str">
        <f>IF(K$1&lt;VLOOKUP($A36,kritische_breedtes[#All],2,FALSE),"rood",IF(K$1&lt;VLOOKUP($A36,kritische_breedtes[#All],3,FALSE),"geel","groen"))</f>
        <v>rood</v>
      </c>
      <c r="L36" t="str">
        <f>IF(L$1&lt;VLOOKUP($A36,kritische_breedtes[#All],2,FALSE),"rood",IF(L$1&lt;VLOOKUP($A36,kritische_breedtes[#All],3,FALSE),"geel","groen"))</f>
        <v>rood</v>
      </c>
      <c r="M36" t="str">
        <f>IF(M$1&lt;VLOOKUP($A36,kritische_breedtes[#All],2,FALSE),"rood",IF(M$1&lt;VLOOKUP($A36,kritische_breedtes[#All],3,FALSE),"geel","groen"))</f>
        <v>rood</v>
      </c>
      <c r="N36" t="str">
        <f>IF(N$1&lt;VLOOKUP($A36,kritische_breedtes[#All],2,FALSE),"rood",IF(N$1&lt;VLOOKUP($A36,kritische_breedtes[#All],3,FALSE),"geel","groen"))</f>
        <v>rood</v>
      </c>
      <c r="O36" t="str">
        <f>IF(O$1&lt;VLOOKUP($A36,kritische_breedtes[#All],2,FALSE),"rood",IF(O$1&lt;VLOOKUP($A36,kritische_breedtes[#All],3,FALSE),"geel","groen"))</f>
        <v>rood</v>
      </c>
      <c r="P36" t="str">
        <f>IF(P$1&lt;VLOOKUP($A36,kritische_breedtes[#All],2,FALSE),"rood",IF(P$1&lt;VLOOKUP($A36,kritische_breedtes[#All],3,FALSE),"geel","groen"))</f>
        <v>rood</v>
      </c>
      <c r="Q36" t="str">
        <f>IF(Q$1&lt;VLOOKUP($A36,kritische_breedtes[#All],2,FALSE),"rood",IF(Q$1&lt;VLOOKUP($A36,kritische_breedtes[#All],3,FALSE),"geel","groen"))</f>
        <v>rood</v>
      </c>
      <c r="R36" t="str">
        <f>IF(R$1&lt;VLOOKUP($A36,kritische_breedtes[#All],2,FALSE),"rood",IF(R$1&lt;VLOOKUP($A36,kritische_breedtes[#All],3,FALSE),"geel","groen"))</f>
        <v>rood</v>
      </c>
      <c r="S36" t="str">
        <f>IF(S$1&lt;VLOOKUP($A36,kritische_breedtes[#All],2,FALSE),"rood",IF(S$1&lt;VLOOKUP($A36,kritische_breedtes[#All],3,FALSE),"geel","groen"))</f>
        <v>rood</v>
      </c>
      <c r="T36" t="str">
        <f>IF(T$1&lt;VLOOKUP($A36,kritische_breedtes[#All],2,FALSE),"rood",IF(T$1&lt;VLOOKUP($A36,kritische_breedtes[#All],3,FALSE),"geel","groen"))</f>
        <v>rood</v>
      </c>
      <c r="U36" t="str">
        <f>IF(U$1&lt;VLOOKUP($A36,kritische_breedtes[#All],2,FALSE),"rood",IF(U$1&lt;VLOOKUP($A36,kritische_breedtes[#All],3,FALSE),"geel","groen"))</f>
        <v>rood</v>
      </c>
      <c r="V36" t="str">
        <f>IF(V$1&lt;VLOOKUP($A36,kritische_breedtes[#All],2,FALSE),"rood",IF(V$1&lt;VLOOKUP($A36,kritische_breedtes[#All],3,FALSE),"geel","groen"))</f>
        <v>rood</v>
      </c>
      <c r="W36" t="str">
        <f>IF(W$1&lt;VLOOKUP($A36,kritische_breedtes[#All],2,FALSE),"rood",IF(W$1&lt;VLOOKUP($A36,kritische_breedtes[#All],3,FALSE),"geel","groen"))</f>
        <v>rood</v>
      </c>
      <c r="X36" t="str">
        <f>IF(X$1&lt;VLOOKUP($A36,kritische_breedtes[#All],2,FALSE),"rood",IF(X$1&lt;VLOOKUP($A36,kritische_breedtes[#All],3,FALSE),"geel","groen"))</f>
        <v>geel</v>
      </c>
      <c r="Y36" t="str">
        <f>IF(Y$1&lt;VLOOKUP($A36,kritische_breedtes[#All],2,FALSE),"rood",IF(Y$1&lt;VLOOKUP($A36,kritische_breedtes[#All],3,FALSE),"geel","groen"))</f>
        <v>geel</v>
      </c>
      <c r="Z36" t="str">
        <f>IF(Z$1&lt;VLOOKUP($A36,kritische_breedtes[#All],2,FALSE),"rood",IF(Z$1&lt;VLOOKUP($A36,kritische_breedtes[#All],3,FALSE),"geel","groen"))</f>
        <v>geel</v>
      </c>
      <c r="AA36" t="str">
        <f>IF(AA$1&lt;VLOOKUP($A36,kritische_breedtes[#All],2,FALSE),"rood",IF(AA$1&lt;VLOOKUP($A36,kritische_breedtes[#All],3,FALSE),"geel","groen"))</f>
        <v>groen</v>
      </c>
      <c r="AB36" t="str">
        <f>IF(AB$1&lt;VLOOKUP($A36,kritische_breedtes[#All],2,FALSE),"rood",IF(AB$1&lt;VLOOKUP($A36,kritische_breedtes[#All],3,FALSE),"geel","groen"))</f>
        <v>groen</v>
      </c>
      <c r="AC36" t="str">
        <f>IF(AC$1&lt;VLOOKUP($A36,kritische_breedtes[#All],2,FALSE),"rood",IF(AC$1&lt;VLOOKUP($A36,kritische_breedtes[#All],3,FALSE),"geel","groen"))</f>
        <v>groen</v>
      </c>
      <c r="AD36" t="str">
        <f>IF(AD$1&lt;VLOOKUP($A36,kritische_breedtes[#All],2,FALSE),"rood",IF(AD$1&lt;VLOOKUP($A36,kritische_breedtes[#All],3,FALSE),"geel","groen"))</f>
        <v>groen</v>
      </c>
    </row>
    <row r="37" spans="1:30">
      <c r="A37" t="s">
        <v>160</v>
      </c>
      <c r="B37">
        <f>B32*(1-duofietsers_var2)*vrachtverkeer_var2*vrachtverkeer_var2*(1-duofietsers_var2)</f>
        <v>4.5208874117647043E-3</v>
      </c>
      <c r="C37" t="str">
        <f>IF(C$1&lt;VLOOKUP($A37,kritische_breedtes[#All],2,FALSE),"rood",IF(C$1&lt;VLOOKUP($A37,kritische_breedtes[#All],3,FALSE),"geel","groen"))</f>
        <v>rood</v>
      </c>
      <c r="D37" t="str">
        <f>IF(D$1&lt;VLOOKUP($A37,kritische_breedtes[#All],2,FALSE),"rood",IF(D$1&lt;VLOOKUP($A37,kritische_breedtes[#All],3,FALSE),"geel","groen"))</f>
        <v>rood</v>
      </c>
      <c r="E37" t="str">
        <f>IF(E$1&lt;VLOOKUP($A37,kritische_breedtes[#All],2,FALSE),"rood",IF(E$1&lt;VLOOKUP($A37,kritische_breedtes[#All],3,FALSE),"geel","groen"))</f>
        <v>rood</v>
      </c>
      <c r="F37" t="str">
        <f>IF(F$1&lt;VLOOKUP($A37,kritische_breedtes[#All],2,FALSE),"rood",IF(F$1&lt;VLOOKUP($A37,kritische_breedtes[#All],3,FALSE),"geel","groen"))</f>
        <v>rood</v>
      </c>
      <c r="G37" t="str">
        <f>IF(G$1&lt;VLOOKUP($A37,kritische_breedtes[#All],2,FALSE),"rood",IF(G$1&lt;VLOOKUP($A37,kritische_breedtes[#All],3,FALSE),"geel","groen"))</f>
        <v>rood</v>
      </c>
      <c r="H37" t="str">
        <f>IF(H$1&lt;VLOOKUP($A37,kritische_breedtes[#All],2,FALSE),"rood",IF(H$1&lt;VLOOKUP($A37,kritische_breedtes[#All],3,FALSE),"geel","groen"))</f>
        <v>rood</v>
      </c>
      <c r="I37" t="str">
        <f>IF(I$1&lt;VLOOKUP($A37,kritische_breedtes[#All],2,FALSE),"rood",IF(I$1&lt;VLOOKUP($A37,kritische_breedtes[#All],3,FALSE),"geel","groen"))</f>
        <v>rood</v>
      </c>
      <c r="J37" t="str">
        <f>IF(J$1&lt;VLOOKUP($A37,kritische_breedtes[#All],2,FALSE),"rood",IF(J$1&lt;VLOOKUP($A37,kritische_breedtes[#All],3,FALSE),"geel","groen"))</f>
        <v>rood</v>
      </c>
      <c r="K37" t="str">
        <f>IF(K$1&lt;VLOOKUP($A37,kritische_breedtes[#All],2,FALSE),"rood",IF(K$1&lt;VLOOKUP($A37,kritische_breedtes[#All],3,FALSE),"geel","groen"))</f>
        <v>rood</v>
      </c>
      <c r="L37" t="str">
        <f>IF(L$1&lt;VLOOKUP($A37,kritische_breedtes[#All],2,FALSE),"rood",IF(L$1&lt;VLOOKUP($A37,kritische_breedtes[#All],3,FALSE),"geel","groen"))</f>
        <v>rood</v>
      </c>
      <c r="M37" t="str">
        <f>IF(M$1&lt;VLOOKUP($A37,kritische_breedtes[#All],2,FALSE),"rood",IF(M$1&lt;VLOOKUP($A37,kritische_breedtes[#All],3,FALSE),"geel","groen"))</f>
        <v>rood</v>
      </c>
      <c r="N37" t="str">
        <f>IF(N$1&lt;VLOOKUP($A37,kritische_breedtes[#All],2,FALSE),"rood",IF(N$1&lt;VLOOKUP($A37,kritische_breedtes[#All],3,FALSE),"geel","groen"))</f>
        <v>rood</v>
      </c>
      <c r="O37" t="str">
        <f>IF(O$1&lt;VLOOKUP($A37,kritische_breedtes[#All],2,FALSE),"rood",IF(O$1&lt;VLOOKUP($A37,kritische_breedtes[#All],3,FALSE),"geel","groen"))</f>
        <v>rood</v>
      </c>
      <c r="P37" t="str">
        <f>IF(P$1&lt;VLOOKUP($A37,kritische_breedtes[#All],2,FALSE),"rood",IF(P$1&lt;VLOOKUP($A37,kritische_breedtes[#All],3,FALSE),"geel","groen"))</f>
        <v>rood</v>
      </c>
      <c r="Q37" t="str">
        <f>IF(Q$1&lt;VLOOKUP($A37,kritische_breedtes[#All],2,FALSE),"rood",IF(Q$1&lt;VLOOKUP($A37,kritische_breedtes[#All],3,FALSE),"geel","groen"))</f>
        <v>rood</v>
      </c>
      <c r="R37" t="str">
        <f>IF(R$1&lt;VLOOKUP($A37,kritische_breedtes[#All],2,FALSE),"rood",IF(R$1&lt;VLOOKUP($A37,kritische_breedtes[#All],3,FALSE),"geel","groen"))</f>
        <v>rood</v>
      </c>
      <c r="S37" t="str">
        <f>IF(S$1&lt;VLOOKUP($A37,kritische_breedtes[#All],2,FALSE),"rood",IF(S$1&lt;VLOOKUP($A37,kritische_breedtes[#All],3,FALSE),"geel","groen"))</f>
        <v>rood</v>
      </c>
      <c r="T37" t="str">
        <f>IF(T$1&lt;VLOOKUP($A37,kritische_breedtes[#All],2,FALSE),"rood",IF(T$1&lt;VLOOKUP($A37,kritische_breedtes[#All],3,FALSE),"geel","groen"))</f>
        <v>rood</v>
      </c>
      <c r="U37" t="str">
        <f>IF(U$1&lt;VLOOKUP($A37,kritische_breedtes[#All],2,FALSE),"rood",IF(U$1&lt;VLOOKUP($A37,kritische_breedtes[#All],3,FALSE),"geel","groen"))</f>
        <v>rood</v>
      </c>
      <c r="V37" t="str">
        <f>IF(V$1&lt;VLOOKUP($A37,kritische_breedtes[#All],2,FALSE),"rood",IF(V$1&lt;VLOOKUP($A37,kritische_breedtes[#All],3,FALSE),"geel","groen"))</f>
        <v>rood</v>
      </c>
      <c r="W37" t="str">
        <f>IF(W$1&lt;VLOOKUP($A37,kritische_breedtes[#All],2,FALSE),"rood",IF(W$1&lt;VLOOKUP($A37,kritische_breedtes[#All],3,FALSE),"geel","groen"))</f>
        <v>rood</v>
      </c>
      <c r="X37" t="str">
        <f>IF(X$1&lt;VLOOKUP($A37,kritische_breedtes[#All],2,FALSE),"rood",IF(X$1&lt;VLOOKUP($A37,kritische_breedtes[#All],3,FALSE),"geel","groen"))</f>
        <v>geel</v>
      </c>
      <c r="Y37" t="str">
        <f>IF(Y$1&lt;VLOOKUP($A37,kritische_breedtes[#All],2,FALSE),"rood",IF(Y$1&lt;VLOOKUP($A37,kritische_breedtes[#All],3,FALSE),"geel","groen"))</f>
        <v>geel</v>
      </c>
      <c r="Z37" t="str">
        <f>IF(Z$1&lt;VLOOKUP($A37,kritische_breedtes[#All],2,FALSE),"rood",IF(Z$1&lt;VLOOKUP($A37,kritische_breedtes[#All],3,FALSE),"geel","groen"))</f>
        <v>geel</v>
      </c>
      <c r="AA37" t="str">
        <f>IF(AA$1&lt;VLOOKUP($A37,kritische_breedtes[#All],2,FALSE),"rood",IF(AA$1&lt;VLOOKUP($A37,kritische_breedtes[#All],3,FALSE),"geel","groen"))</f>
        <v>groen</v>
      </c>
      <c r="AB37" t="str">
        <f>IF(AB$1&lt;VLOOKUP($A37,kritische_breedtes[#All],2,FALSE),"rood",IF(AB$1&lt;VLOOKUP($A37,kritische_breedtes[#All],3,FALSE),"geel","groen"))</f>
        <v>groen</v>
      </c>
      <c r="AC37" t="str">
        <f>IF(AC$1&lt;VLOOKUP($A37,kritische_breedtes[#All],2,FALSE),"rood",IF(AC$1&lt;VLOOKUP($A37,kritische_breedtes[#All],3,FALSE),"geel","groen"))</f>
        <v>groen</v>
      </c>
      <c r="AD37" t="str">
        <f>IF(AD$1&lt;VLOOKUP($A37,kritische_breedtes[#All],2,FALSE),"rood",IF(AD$1&lt;VLOOKUP($A37,kritische_breedtes[#All],3,FALSE),"geel","groen"))</f>
        <v>groen</v>
      </c>
    </row>
    <row r="38" spans="1:30">
      <c r="A38" t="s">
        <v>163</v>
      </c>
      <c r="B38">
        <f>B32*duofietsers_var2*vrachtverkeer_var2*vrachtverkeer_var2*(1-duofietsers_var2)+B32*(1-duofietsers_var2)*vrachtverkeer_var2*vrachtverkeer_var2*duofietsers_var2</f>
        <v>1.0046416470588233E-3</v>
      </c>
      <c r="C38" t="str">
        <f>IF(C$1&lt;VLOOKUP($A38,kritische_breedtes[#All],2,FALSE),"rood",IF(C$1&lt;VLOOKUP($A38,kritische_breedtes[#All],3,FALSE),"geel","groen"))</f>
        <v>rood</v>
      </c>
      <c r="D38" t="str">
        <f>IF(D$1&lt;VLOOKUP($A38,kritische_breedtes[#All],2,FALSE),"rood",IF(D$1&lt;VLOOKUP($A38,kritische_breedtes[#All],3,FALSE),"geel","groen"))</f>
        <v>rood</v>
      </c>
      <c r="E38" t="str">
        <f>IF(E$1&lt;VLOOKUP($A38,kritische_breedtes[#All],2,FALSE),"rood",IF(E$1&lt;VLOOKUP($A38,kritische_breedtes[#All],3,FALSE),"geel","groen"))</f>
        <v>rood</v>
      </c>
      <c r="F38" t="str">
        <f>IF(F$1&lt;VLOOKUP($A38,kritische_breedtes[#All],2,FALSE),"rood",IF(F$1&lt;VLOOKUP($A38,kritische_breedtes[#All],3,FALSE),"geel","groen"))</f>
        <v>rood</v>
      </c>
      <c r="G38" t="str">
        <f>IF(G$1&lt;VLOOKUP($A38,kritische_breedtes[#All],2,FALSE),"rood",IF(G$1&lt;VLOOKUP($A38,kritische_breedtes[#All],3,FALSE),"geel","groen"))</f>
        <v>rood</v>
      </c>
      <c r="H38" t="str">
        <f>IF(H$1&lt;VLOOKUP($A38,kritische_breedtes[#All],2,FALSE),"rood",IF(H$1&lt;VLOOKUP($A38,kritische_breedtes[#All],3,FALSE),"geel","groen"))</f>
        <v>rood</v>
      </c>
      <c r="I38" t="str">
        <f>IF(I$1&lt;VLOOKUP($A38,kritische_breedtes[#All],2,FALSE),"rood",IF(I$1&lt;VLOOKUP($A38,kritische_breedtes[#All],3,FALSE),"geel","groen"))</f>
        <v>rood</v>
      </c>
      <c r="J38" t="str">
        <f>IF(J$1&lt;VLOOKUP($A38,kritische_breedtes[#All],2,FALSE),"rood",IF(J$1&lt;VLOOKUP($A38,kritische_breedtes[#All],3,FALSE),"geel","groen"))</f>
        <v>rood</v>
      </c>
      <c r="K38" t="str">
        <f>IF(K$1&lt;VLOOKUP($A38,kritische_breedtes[#All],2,FALSE),"rood",IF(K$1&lt;VLOOKUP($A38,kritische_breedtes[#All],3,FALSE),"geel","groen"))</f>
        <v>rood</v>
      </c>
      <c r="L38" t="str">
        <f>IF(L$1&lt;VLOOKUP($A38,kritische_breedtes[#All],2,FALSE),"rood",IF(L$1&lt;VLOOKUP($A38,kritische_breedtes[#All],3,FALSE),"geel","groen"))</f>
        <v>rood</v>
      </c>
      <c r="M38" t="str">
        <f>IF(M$1&lt;VLOOKUP($A38,kritische_breedtes[#All],2,FALSE),"rood",IF(M$1&lt;VLOOKUP($A38,kritische_breedtes[#All],3,FALSE),"geel","groen"))</f>
        <v>rood</v>
      </c>
      <c r="N38" t="str">
        <f>IF(N$1&lt;VLOOKUP($A38,kritische_breedtes[#All],2,FALSE),"rood",IF(N$1&lt;VLOOKUP($A38,kritische_breedtes[#All],3,FALSE),"geel","groen"))</f>
        <v>rood</v>
      </c>
      <c r="O38" t="str">
        <f>IF(O$1&lt;VLOOKUP($A38,kritische_breedtes[#All],2,FALSE),"rood",IF(O$1&lt;VLOOKUP($A38,kritische_breedtes[#All],3,FALSE),"geel","groen"))</f>
        <v>rood</v>
      </c>
      <c r="P38" t="str">
        <f>IF(P$1&lt;VLOOKUP($A38,kritische_breedtes[#All],2,FALSE),"rood",IF(P$1&lt;VLOOKUP($A38,kritische_breedtes[#All],3,FALSE),"geel","groen"))</f>
        <v>rood</v>
      </c>
      <c r="Q38" t="str">
        <f>IF(Q$1&lt;VLOOKUP($A38,kritische_breedtes[#All],2,FALSE),"rood",IF(Q$1&lt;VLOOKUP($A38,kritische_breedtes[#All],3,FALSE),"geel","groen"))</f>
        <v>rood</v>
      </c>
      <c r="R38" t="str">
        <f>IF(R$1&lt;VLOOKUP($A38,kritische_breedtes[#All],2,FALSE),"rood",IF(R$1&lt;VLOOKUP($A38,kritische_breedtes[#All],3,FALSE),"geel","groen"))</f>
        <v>rood</v>
      </c>
      <c r="S38" t="str">
        <f>IF(S$1&lt;VLOOKUP($A38,kritische_breedtes[#All],2,FALSE),"rood",IF(S$1&lt;VLOOKUP($A38,kritische_breedtes[#All],3,FALSE),"geel","groen"))</f>
        <v>rood</v>
      </c>
      <c r="T38" t="str">
        <f>IF(T$1&lt;VLOOKUP($A38,kritische_breedtes[#All],2,FALSE),"rood",IF(T$1&lt;VLOOKUP($A38,kritische_breedtes[#All],3,FALSE),"geel","groen"))</f>
        <v>rood</v>
      </c>
      <c r="U38" t="str">
        <f>IF(U$1&lt;VLOOKUP($A38,kritische_breedtes[#All],2,FALSE),"rood",IF(U$1&lt;VLOOKUP($A38,kritische_breedtes[#All],3,FALSE),"geel","groen"))</f>
        <v>rood</v>
      </c>
      <c r="V38" t="str">
        <f>IF(V$1&lt;VLOOKUP($A38,kritische_breedtes[#All],2,FALSE),"rood",IF(V$1&lt;VLOOKUP($A38,kritische_breedtes[#All],3,FALSE),"geel","groen"))</f>
        <v>rood</v>
      </c>
      <c r="W38" t="str">
        <f>IF(W$1&lt;VLOOKUP($A38,kritische_breedtes[#All],2,FALSE),"rood",IF(W$1&lt;VLOOKUP($A38,kritische_breedtes[#All],3,FALSE),"geel","groen"))</f>
        <v>rood</v>
      </c>
      <c r="X38" t="str">
        <f>IF(X$1&lt;VLOOKUP($A38,kritische_breedtes[#All],2,FALSE),"rood",IF(X$1&lt;VLOOKUP($A38,kritische_breedtes[#All],3,FALSE),"geel","groen"))</f>
        <v>rood</v>
      </c>
      <c r="Y38" t="str">
        <f>IF(Y$1&lt;VLOOKUP($A38,kritische_breedtes[#All],2,FALSE),"rood",IF(Y$1&lt;VLOOKUP($A38,kritische_breedtes[#All],3,FALSE),"geel","groen"))</f>
        <v>rood</v>
      </c>
      <c r="Z38" t="str">
        <f>IF(Z$1&lt;VLOOKUP($A38,kritische_breedtes[#All],2,FALSE),"rood",IF(Z$1&lt;VLOOKUP($A38,kritische_breedtes[#All],3,FALSE),"geel","groen"))</f>
        <v>geel</v>
      </c>
      <c r="AA38" t="str">
        <f>IF(AA$1&lt;VLOOKUP($A38,kritische_breedtes[#All],2,FALSE),"rood",IF(AA$1&lt;VLOOKUP($A38,kritische_breedtes[#All],3,FALSE),"geel","groen"))</f>
        <v>geel</v>
      </c>
      <c r="AB38" t="str">
        <f>IF(AB$1&lt;VLOOKUP($A38,kritische_breedtes[#All],2,FALSE),"rood",IF(AB$1&lt;VLOOKUP($A38,kritische_breedtes[#All],3,FALSE),"geel","groen"))</f>
        <v>geel</v>
      </c>
      <c r="AC38" t="str">
        <f>IF(AC$1&lt;VLOOKUP($A38,kritische_breedtes[#All],2,FALSE),"rood",IF(AC$1&lt;VLOOKUP($A38,kritische_breedtes[#All],3,FALSE),"geel","groen"))</f>
        <v>groen</v>
      </c>
      <c r="AD38" t="str">
        <f>IF(AD$1&lt;VLOOKUP($A38,kritische_breedtes[#All],2,FALSE),"rood",IF(AD$1&lt;VLOOKUP($A38,kritische_breedtes[#All],3,FALSE),"geel","groen"))</f>
        <v>groen</v>
      </c>
    </row>
    <row r="39" spans="1:30">
      <c r="A39" t="s">
        <v>166</v>
      </c>
      <c r="B39">
        <f>B32*duofietsers_var2*(1-vrachtverkeer_var2)*(1-vrachtverkeer_var2)*duofietsers_var2</f>
        <v>0.13400803303267969</v>
      </c>
      <c r="C39" t="str">
        <f>IF(C$1&lt;VLOOKUP($A39,kritische_breedtes[#All],2,FALSE),"rood",IF(C$1&lt;VLOOKUP($A39,kritische_breedtes[#All],3,FALSE),"geel","groen"))</f>
        <v>rood</v>
      </c>
      <c r="D39" t="str">
        <f>IF(D$1&lt;VLOOKUP($A39,kritische_breedtes[#All],2,FALSE),"rood",IF(D$1&lt;VLOOKUP($A39,kritische_breedtes[#All],3,FALSE),"geel","groen"))</f>
        <v>rood</v>
      </c>
      <c r="E39" t="str">
        <f>IF(E$1&lt;VLOOKUP($A39,kritische_breedtes[#All],2,FALSE),"rood",IF(E$1&lt;VLOOKUP($A39,kritische_breedtes[#All],3,FALSE),"geel","groen"))</f>
        <v>rood</v>
      </c>
      <c r="F39" t="str">
        <f>IF(F$1&lt;VLOOKUP($A39,kritische_breedtes[#All],2,FALSE),"rood",IF(F$1&lt;VLOOKUP($A39,kritische_breedtes[#All],3,FALSE),"geel","groen"))</f>
        <v>rood</v>
      </c>
      <c r="G39" t="str">
        <f>IF(G$1&lt;VLOOKUP($A39,kritische_breedtes[#All],2,FALSE),"rood",IF(G$1&lt;VLOOKUP($A39,kritische_breedtes[#All],3,FALSE),"geel","groen"))</f>
        <v>rood</v>
      </c>
      <c r="H39" t="str">
        <f>IF(H$1&lt;VLOOKUP($A39,kritische_breedtes[#All],2,FALSE),"rood",IF(H$1&lt;VLOOKUP($A39,kritische_breedtes[#All],3,FALSE),"geel","groen"))</f>
        <v>rood</v>
      </c>
      <c r="I39" t="str">
        <f>IF(I$1&lt;VLOOKUP($A39,kritische_breedtes[#All],2,FALSE),"rood",IF(I$1&lt;VLOOKUP($A39,kritische_breedtes[#All],3,FALSE),"geel","groen"))</f>
        <v>rood</v>
      </c>
      <c r="J39" t="str">
        <f>IF(J$1&lt;VLOOKUP($A39,kritische_breedtes[#All],2,FALSE),"rood",IF(J$1&lt;VLOOKUP($A39,kritische_breedtes[#All],3,FALSE),"geel","groen"))</f>
        <v>rood</v>
      </c>
      <c r="K39" t="str">
        <f>IF(K$1&lt;VLOOKUP($A39,kritische_breedtes[#All],2,FALSE),"rood",IF(K$1&lt;VLOOKUP($A39,kritische_breedtes[#All],3,FALSE),"geel","groen"))</f>
        <v>rood</v>
      </c>
      <c r="L39" t="str">
        <f>IF(L$1&lt;VLOOKUP($A39,kritische_breedtes[#All],2,FALSE),"rood",IF(L$1&lt;VLOOKUP($A39,kritische_breedtes[#All],3,FALSE),"geel","groen"))</f>
        <v>rood</v>
      </c>
      <c r="M39" t="str">
        <f>IF(M$1&lt;VLOOKUP($A39,kritische_breedtes[#All],2,FALSE),"rood",IF(M$1&lt;VLOOKUP($A39,kritische_breedtes[#All],3,FALSE),"geel","groen"))</f>
        <v>rood</v>
      </c>
      <c r="N39" t="str">
        <f>IF(N$1&lt;VLOOKUP($A39,kritische_breedtes[#All],2,FALSE),"rood",IF(N$1&lt;VLOOKUP($A39,kritische_breedtes[#All],3,FALSE),"geel","groen"))</f>
        <v>rood</v>
      </c>
      <c r="O39" t="str">
        <f>IF(O$1&lt;VLOOKUP($A39,kritische_breedtes[#All],2,FALSE),"rood",IF(O$1&lt;VLOOKUP($A39,kritische_breedtes[#All],3,FALSE),"geel","groen"))</f>
        <v>rood</v>
      </c>
      <c r="P39" t="str">
        <f>IF(P$1&lt;VLOOKUP($A39,kritische_breedtes[#All],2,FALSE),"rood",IF(P$1&lt;VLOOKUP($A39,kritische_breedtes[#All],3,FALSE),"geel","groen"))</f>
        <v>rood</v>
      </c>
      <c r="Q39" t="str">
        <f>IF(Q$1&lt;VLOOKUP($A39,kritische_breedtes[#All],2,FALSE),"rood",IF(Q$1&lt;VLOOKUP($A39,kritische_breedtes[#All],3,FALSE),"geel","groen"))</f>
        <v>rood</v>
      </c>
      <c r="R39" t="str">
        <f>IF(R$1&lt;VLOOKUP($A39,kritische_breedtes[#All],2,FALSE),"rood",IF(R$1&lt;VLOOKUP($A39,kritische_breedtes[#All],3,FALSE),"geel","groen"))</f>
        <v>rood</v>
      </c>
      <c r="S39" t="str">
        <f>IF(S$1&lt;VLOOKUP($A39,kritische_breedtes[#All],2,FALSE),"rood",IF(S$1&lt;VLOOKUP($A39,kritische_breedtes[#All],3,FALSE),"geel","groen"))</f>
        <v>rood</v>
      </c>
      <c r="T39" t="str">
        <f>IF(T$1&lt;VLOOKUP($A39,kritische_breedtes[#All],2,FALSE),"rood",IF(T$1&lt;VLOOKUP($A39,kritische_breedtes[#All],3,FALSE),"geel","groen"))</f>
        <v>rood</v>
      </c>
      <c r="U39" t="str">
        <f>IF(U$1&lt;VLOOKUP($A39,kritische_breedtes[#All],2,FALSE),"rood",IF(U$1&lt;VLOOKUP($A39,kritische_breedtes[#All],3,FALSE),"geel","groen"))</f>
        <v>rood</v>
      </c>
      <c r="V39" t="str">
        <f>IF(V$1&lt;VLOOKUP($A39,kritische_breedtes[#All],2,FALSE),"rood",IF(V$1&lt;VLOOKUP($A39,kritische_breedtes[#All],3,FALSE),"geel","groen"))</f>
        <v>rood</v>
      </c>
      <c r="W39" t="str">
        <f>IF(W$1&lt;VLOOKUP($A39,kritische_breedtes[#All],2,FALSE),"rood",IF(W$1&lt;VLOOKUP($A39,kritische_breedtes[#All],3,FALSE),"geel","groen"))</f>
        <v>rood</v>
      </c>
      <c r="X39" t="str">
        <f>IF(X$1&lt;VLOOKUP($A39,kritische_breedtes[#All],2,FALSE),"rood",IF(X$1&lt;VLOOKUP($A39,kritische_breedtes[#All],3,FALSE),"geel","groen"))</f>
        <v>geel</v>
      </c>
      <c r="Y39" t="str">
        <f>IF(Y$1&lt;VLOOKUP($A39,kritische_breedtes[#All],2,FALSE),"rood",IF(Y$1&lt;VLOOKUP($A39,kritische_breedtes[#All],3,FALSE),"geel","groen"))</f>
        <v>geel</v>
      </c>
      <c r="Z39" t="str">
        <f>IF(Z$1&lt;VLOOKUP($A39,kritische_breedtes[#All],2,FALSE),"rood",IF(Z$1&lt;VLOOKUP($A39,kritische_breedtes[#All],3,FALSE),"geel","groen"))</f>
        <v>geel</v>
      </c>
      <c r="AA39" t="str">
        <f>IF(AA$1&lt;VLOOKUP($A39,kritische_breedtes[#All],2,FALSE),"rood",IF(AA$1&lt;VLOOKUP($A39,kritische_breedtes[#All],3,FALSE),"geel","groen"))</f>
        <v>groen</v>
      </c>
      <c r="AB39" t="str">
        <f>IF(AB$1&lt;VLOOKUP($A39,kritische_breedtes[#All],2,FALSE),"rood",IF(AB$1&lt;VLOOKUP($A39,kritische_breedtes[#All],3,FALSE),"geel","groen"))</f>
        <v>groen</v>
      </c>
      <c r="AC39" t="str">
        <f>IF(AC$1&lt;VLOOKUP($A39,kritische_breedtes[#All],2,FALSE),"rood",IF(AC$1&lt;VLOOKUP($A39,kritische_breedtes[#All],3,FALSE),"geel","groen"))</f>
        <v>groen</v>
      </c>
      <c r="AD39" t="str">
        <f>IF(AD$1&lt;VLOOKUP($A39,kritische_breedtes[#All],2,FALSE),"rood",IF(AD$1&lt;VLOOKUP($A39,kritische_breedtes[#All],3,FALSE),"geel","groen"))</f>
        <v>groen</v>
      </c>
    </row>
    <row r="40" spans="1:30">
      <c r="A40" t="s">
        <v>168</v>
      </c>
      <c r="B40">
        <f>B32*duofietsers_var2*(1-vrachtverkeer_var2)*vrachtverkeer_var2*duofietsers_var2+B32*duofietsers_var2*vrachtverkeer_var2*(1-vrachtverkeer_var2)*duofietsers_var2</f>
        <v>5.4697156339869272E-3</v>
      </c>
      <c r="C40" t="str">
        <f>IF(C$1&lt;VLOOKUP($A40,kritische_breedtes[#All],2,FALSE),"rood",IF(C$1&lt;VLOOKUP($A40,kritische_breedtes[#All],3,FALSE),"geel","groen"))</f>
        <v>rood</v>
      </c>
      <c r="D40" t="str">
        <f>IF(D$1&lt;VLOOKUP($A40,kritische_breedtes[#All],2,FALSE),"rood",IF(D$1&lt;VLOOKUP($A40,kritische_breedtes[#All],3,FALSE),"geel","groen"))</f>
        <v>rood</v>
      </c>
      <c r="E40" t="str">
        <f>IF(E$1&lt;VLOOKUP($A40,kritische_breedtes[#All],2,FALSE),"rood",IF(E$1&lt;VLOOKUP($A40,kritische_breedtes[#All],3,FALSE),"geel","groen"))</f>
        <v>rood</v>
      </c>
      <c r="F40" t="str">
        <f>IF(F$1&lt;VLOOKUP($A40,kritische_breedtes[#All],2,FALSE),"rood",IF(F$1&lt;VLOOKUP($A40,kritische_breedtes[#All],3,FALSE),"geel","groen"))</f>
        <v>rood</v>
      </c>
      <c r="G40" t="str">
        <f>IF(G$1&lt;VLOOKUP($A40,kritische_breedtes[#All],2,FALSE),"rood",IF(G$1&lt;VLOOKUP($A40,kritische_breedtes[#All],3,FALSE),"geel","groen"))</f>
        <v>rood</v>
      </c>
      <c r="H40" t="str">
        <f>IF(H$1&lt;VLOOKUP($A40,kritische_breedtes[#All],2,FALSE),"rood",IF(H$1&lt;VLOOKUP($A40,kritische_breedtes[#All],3,FALSE),"geel","groen"))</f>
        <v>rood</v>
      </c>
      <c r="I40" t="str">
        <f>IF(I$1&lt;VLOOKUP($A40,kritische_breedtes[#All],2,FALSE),"rood",IF(I$1&lt;VLOOKUP($A40,kritische_breedtes[#All],3,FALSE),"geel","groen"))</f>
        <v>rood</v>
      </c>
      <c r="J40" t="str">
        <f>IF(J$1&lt;VLOOKUP($A40,kritische_breedtes[#All],2,FALSE),"rood",IF(J$1&lt;VLOOKUP($A40,kritische_breedtes[#All],3,FALSE),"geel","groen"))</f>
        <v>rood</v>
      </c>
      <c r="K40" t="str">
        <f>IF(K$1&lt;VLOOKUP($A40,kritische_breedtes[#All],2,FALSE),"rood",IF(K$1&lt;VLOOKUP($A40,kritische_breedtes[#All],3,FALSE),"geel","groen"))</f>
        <v>rood</v>
      </c>
      <c r="L40" t="str">
        <f>IF(L$1&lt;VLOOKUP($A40,kritische_breedtes[#All],2,FALSE),"rood",IF(L$1&lt;VLOOKUP($A40,kritische_breedtes[#All],3,FALSE),"geel","groen"))</f>
        <v>rood</v>
      </c>
      <c r="M40" t="str">
        <f>IF(M$1&lt;VLOOKUP($A40,kritische_breedtes[#All],2,FALSE),"rood",IF(M$1&lt;VLOOKUP($A40,kritische_breedtes[#All],3,FALSE),"geel","groen"))</f>
        <v>rood</v>
      </c>
      <c r="N40" t="str">
        <f>IF(N$1&lt;VLOOKUP($A40,kritische_breedtes[#All],2,FALSE),"rood",IF(N$1&lt;VLOOKUP($A40,kritische_breedtes[#All],3,FALSE),"geel","groen"))</f>
        <v>rood</v>
      </c>
      <c r="O40" t="str">
        <f>IF(O$1&lt;VLOOKUP($A40,kritische_breedtes[#All],2,FALSE),"rood",IF(O$1&lt;VLOOKUP($A40,kritische_breedtes[#All],3,FALSE),"geel","groen"))</f>
        <v>rood</v>
      </c>
      <c r="P40" t="str">
        <f>IF(P$1&lt;VLOOKUP($A40,kritische_breedtes[#All],2,FALSE),"rood",IF(P$1&lt;VLOOKUP($A40,kritische_breedtes[#All],3,FALSE),"geel","groen"))</f>
        <v>rood</v>
      </c>
      <c r="Q40" t="str">
        <f>IF(Q$1&lt;VLOOKUP($A40,kritische_breedtes[#All],2,FALSE),"rood",IF(Q$1&lt;VLOOKUP($A40,kritische_breedtes[#All],3,FALSE),"geel","groen"))</f>
        <v>rood</v>
      </c>
      <c r="R40" t="str">
        <f>IF(R$1&lt;VLOOKUP($A40,kritische_breedtes[#All],2,FALSE),"rood",IF(R$1&lt;VLOOKUP($A40,kritische_breedtes[#All],3,FALSE),"geel","groen"))</f>
        <v>rood</v>
      </c>
      <c r="S40" t="str">
        <f>IF(S$1&lt;VLOOKUP($A40,kritische_breedtes[#All],2,FALSE),"rood",IF(S$1&lt;VLOOKUP($A40,kritische_breedtes[#All],3,FALSE),"geel","groen"))</f>
        <v>rood</v>
      </c>
      <c r="T40" t="str">
        <f>IF(T$1&lt;VLOOKUP($A40,kritische_breedtes[#All],2,FALSE),"rood",IF(T$1&lt;VLOOKUP($A40,kritische_breedtes[#All],3,FALSE),"geel","groen"))</f>
        <v>rood</v>
      </c>
      <c r="U40" t="str">
        <f>IF(U$1&lt;VLOOKUP($A40,kritische_breedtes[#All],2,FALSE),"rood",IF(U$1&lt;VLOOKUP($A40,kritische_breedtes[#All],3,FALSE),"geel","groen"))</f>
        <v>rood</v>
      </c>
      <c r="V40" t="str">
        <f>IF(V$1&lt;VLOOKUP($A40,kritische_breedtes[#All],2,FALSE),"rood",IF(V$1&lt;VLOOKUP($A40,kritische_breedtes[#All],3,FALSE),"geel","groen"))</f>
        <v>rood</v>
      </c>
      <c r="W40" t="str">
        <f>IF(W$1&lt;VLOOKUP($A40,kritische_breedtes[#All],2,FALSE),"rood",IF(W$1&lt;VLOOKUP($A40,kritische_breedtes[#All],3,FALSE),"geel","groen"))</f>
        <v>rood</v>
      </c>
      <c r="X40" t="str">
        <f>IF(X$1&lt;VLOOKUP($A40,kritische_breedtes[#All],2,FALSE),"rood",IF(X$1&lt;VLOOKUP($A40,kritische_breedtes[#All],3,FALSE),"geel","groen"))</f>
        <v>rood</v>
      </c>
      <c r="Y40" t="str">
        <f>IF(Y$1&lt;VLOOKUP($A40,kritische_breedtes[#All],2,FALSE),"rood",IF(Y$1&lt;VLOOKUP($A40,kritische_breedtes[#All],3,FALSE),"geel","groen"))</f>
        <v>rood</v>
      </c>
      <c r="Z40" t="str">
        <f>IF(Z$1&lt;VLOOKUP($A40,kritische_breedtes[#All],2,FALSE),"rood",IF(Z$1&lt;VLOOKUP($A40,kritische_breedtes[#All],3,FALSE),"geel","groen"))</f>
        <v>geel</v>
      </c>
      <c r="AA40" t="str">
        <f>IF(AA$1&lt;VLOOKUP($A40,kritische_breedtes[#All],2,FALSE),"rood",IF(AA$1&lt;VLOOKUP($A40,kritische_breedtes[#All],3,FALSE),"geel","groen"))</f>
        <v>geel</v>
      </c>
      <c r="AB40" t="str">
        <f>IF(AB$1&lt;VLOOKUP($A40,kritische_breedtes[#All],2,FALSE),"rood",IF(AB$1&lt;VLOOKUP($A40,kritische_breedtes[#All],3,FALSE),"geel","groen"))</f>
        <v>geel</v>
      </c>
      <c r="AC40" t="str">
        <f>IF(AC$1&lt;VLOOKUP($A40,kritische_breedtes[#All],2,FALSE),"rood",IF(AC$1&lt;VLOOKUP($A40,kritische_breedtes[#All],3,FALSE),"geel","groen"))</f>
        <v>groen</v>
      </c>
      <c r="AD40" t="str">
        <f>IF(AD$1&lt;VLOOKUP($A40,kritische_breedtes[#All],2,FALSE),"rood",IF(AD$1&lt;VLOOKUP($A40,kritische_breedtes[#All],3,FALSE),"geel","groen"))</f>
        <v>groen</v>
      </c>
    </row>
    <row r="41" spans="1:30">
      <c r="A41" t="s">
        <v>170</v>
      </c>
      <c r="B41">
        <f>B32*duofietsers_var2*vrachtverkeer_var2*vrachtverkeer_var2*duofietsers_var2</f>
        <v>5.5813424836601298E-5</v>
      </c>
      <c r="C41" t="str">
        <f>IF(C$1&lt;VLOOKUP($A41,kritische_breedtes[#All],2,FALSE),"rood",IF(C$1&lt;VLOOKUP($A41,kritische_breedtes[#All],3,FALSE),"geel","groen"))</f>
        <v>rood</v>
      </c>
      <c r="D41" t="str">
        <f>IF(D$1&lt;VLOOKUP($A41,kritische_breedtes[#All],2,FALSE),"rood",IF(D$1&lt;VLOOKUP($A41,kritische_breedtes[#All],3,FALSE),"geel","groen"))</f>
        <v>rood</v>
      </c>
      <c r="E41" t="str">
        <f>IF(E$1&lt;VLOOKUP($A41,kritische_breedtes[#All],2,FALSE),"rood",IF(E$1&lt;VLOOKUP($A41,kritische_breedtes[#All],3,FALSE),"geel","groen"))</f>
        <v>rood</v>
      </c>
      <c r="F41" t="str">
        <f>IF(F$1&lt;VLOOKUP($A41,kritische_breedtes[#All],2,FALSE),"rood",IF(F$1&lt;VLOOKUP($A41,kritische_breedtes[#All],3,FALSE),"geel","groen"))</f>
        <v>rood</v>
      </c>
      <c r="G41" t="str">
        <f>IF(G$1&lt;VLOOKUP($A41,kritische_breedtes[#All],2,FALSE),"rood",IF(G$1&lt;VLOOKUP($A41,kritische_breedtes[#All],3,FALSE),"geel","groen"))</f>
        <v>rood</v>
      </c>
      <c r="H41" t="str">
        <f>IF(H$1&lt;VLOOKUP($A41,kritische_breedtes[#All],2,FALSE),"rood",IF(H$1&lt;VLOOKUP($A41,kritische_breedtes[#All],3,FALSE),"geel","groen"))</f>
        <v>rood</v>
      </c>
      <c r="I41" t="str">
        <f>IF(I$1&lt;VLOOKUP($A41,kritische_breedtes[#All],2,FALSE),"rood",IF(I$1&lt;VLOOKUP($A41,kritische_breedtes[#All],3,FALSE),"geel","groen"))</f>
        <v>rood</v>
      </c>
      <c r="J41" t="str">
        <f>IF(J$1&lt;VLOOKUP($A41,kritische_breedtes[#All],2,FALSE),"rood",IF(J$1&lt;VLOOKUP($A41,kritische_breedtes[#All],3,FALSE),"geel","groen"))</f>
        <v>rood</v>
      </c>
      <c r="K41" t="str">
        <f>IF(K$1&lt;VLOOKUP($A41,kritische_breedtes[#All],2,FALSE),"rood",IF(K$1&lt;VLOOKUP($A41,kritische_breedtes[#All],3,FALSE),"geel","groen"))</f>
        <v>rood</v>
      </c>
      <c r="L41" t="str">
        <f>IF(L$1&lt;VLOOKUP($A41,kritische_breedtes[#All],2,FALSE),"rood",IF(L$1&lt;VLOOKUP($A41,kritische_breedtes[#All],3,FALSE),"geel","groen"))</f>
        <v>rood</v>
      </c>
      <c r="M41" t="str">
        <f>IF(M$1&lt;VLOOKUP($A41,kritische_breedtes[#All],2,FALSE),"rood",IF(M$1&lt;VLOOKUP($A41,kritische_breedtes[#All],3,FALSE),"geel","groen"))</f>
        <v>rood</v>
      </c>
      <c r="N41" t="str">
        <f>IF(N$1&lt;VLOOKUP($A41,kritische_breedtes[#All],2,FALSE),"rood",IF(N$1&lt;VLOOKUP($A41,kritische_breedtes[#All],3,FALSE),"geel","groen"))</f>
        <v>rood</v>
      </c>
      <c r="O41" t="str">
        <f>IF(O$1&lt;VLOOKUP($A41,kritische_breedtes[#All],2,FALSE),"rood",IF(O$1&lt;VLOOKUP($A41,kritische_breedtes[#All],3,FALSE),"geel","groen"))</f>
        <v>rood</v>
      </c>
      <c r="P41" t="str">
        <f>IF(P$1&lt;VLOOKUP($A41,kritische_breedtes[#All],2,FALSE),"rood",IF(P$1&lt;VLOOKUP($A41,kritische_breedtes[#All],3,FALSE),"geel","groen"))</f>
        <v>rood</v>
      </c>
      <c r="Q41" t="str">
        <f>IF(Q$1&lt;VLOOKUP($A41,kritische_breedtes[#All],2,FALSE),"rood",IF(Q$1&lt;VLOOKUP($A41,kritische_breedtes[#All],3,FALSE),"geel","groen"))</f>
        <v>rood</v>
      </c>
      <c r="R41" t="str">
        <f>IF(R$1&lt;VLOOKUP($A41,kritische_breedtes[#All],2,FALSE),"rood",IF(R$1&lt;VLOOKUP($A41,kritische_breedtes[#All],3,FALSE),"geel","groen"))</f>
        <v>rood</v>
      </c>
      <c r="S41" t="str">
        <f>IF(S$1&lt;VLOOKUP($A41,kritische_breedtes[#All],2,FALSE),"rood",IF(S$1&lt;VLOOKUP($A41,kritische_breedtes[#All],3,FALSE),"geel","groen"))</f>
        <v>rood</v>
      </c>
      <c r="T41" t="str">
        <f>IF(T$1&lt;VLOOKUP($A41,kritische_breedtes[#All],2,FALSE),"rood",IF(T$1&lt;VLOOKUP($A41,kritische_breedtes[#All],3,FALSE),"geel","groen"))</f>
        <v>rood</v>
      </c>
      <c r="U41" t="str">
        <f>IF(U$1&lt;VLOOKUP($A41,kritische_breedtes[#All],2,FALSE),"rood",IF(U$1&lt;VLOOKUP($A41,kritische_breedtes[#All],3,FALSE),"geel","groen"))</f>
        <v>rood</v>
      </c>
      <c r="V41" t="str">
        <f>IF(V$1&lt;VLOOKUP($A41,kritische_breedtes[#All],2,FALSE),"rood",IF(V$1&lt;VLOOKUP($A41,kritische_breedtes[#All],3,FALSE),"geel","groen"))</f>
        <v>rood</v>
      </c>
      <c r="W41" t="str">
        <f>IF(W$1&lt;VLOOKUP($A41,kritische_breedtes[#All],2,FALSE),"rood",IF(W$1&lt;VLOOKUP($A41,kritische_breedtes[#All],3,FALSE),"geel","groen"))</f>
        <v>rood</v>
      </c>
      <c r="X41" t="str">
        <f>IF(X$1&lt;VLOOKUP($A41,kritische_breedtes[#All],2,FALSE),"rood",IF(X$1&lt;VLOOKUP($A41,kritische_breedtes[#All],3,FALSE),"geel","groen"))</f>
        <v>rood</v>
      </c>
      <c r="Y41" t="str">
        <f>IF(Y$1&lt;VLOOKUP($A41,kritische_breedtes[#All],2,FALSE),"rood",IF(Y$1&lt;VLOOKUP($A41,kritische_breedtes[#All],3,FALSE),"geel","groen"))</f>
        <v>rood</v>
      </c>
      <c r="Z41" t="str">
        <f>IF(Z$1&lt;VLOOKUP($A41,kritische_breedtes[#All],2,FALSE),"rood",IF(Z$1&lt;VLOOKUP($A41,kritische_breedtes[#All],3,FALSE),"geel","groen"))</f>
        <v>rood</v>
      </c>
      <c r="AA41" t="str">
        <f>IF(AA$1&lt;VLOOKUP($A41,kritische_breedtes[#All],2,FALSE),"rood",IF(AA$1&lt;VLOOKUP($A41,kritische_breedtes[#All],3,FALSE),"geel","groen"))</f>
        <v>rood</v>
      </c>
      <c r="AB41" t="str">
        <f>IF(AB$1&lt;VLOOKUP($A41,kritische_breedtes[#All],2,FALSE),"rood",IF(AB$1&lt;VLOOKUP($A41,kritische_breedtes[#All],3,FALSE),"geel","groen"))</f>
        <v>geel</v>
      </c>
      <c r="AC41" t="str">
        <f>IF(AC$1&lt;VLOOKUP($A41,kritische_breedtes[#All],2,FALSE),"rood",IF(AC$1&lt;VLOOKUP($A41,kritische_breedtes[#All],3,FALSE),"geel","groen"))</f>
        <v>geel</v>
      </c>
      <c r="AD41" t="str">
        <f>IF(AD$1&lt;VLOOKUP($A41,kritische_breedtes[#All],2,FALSE),"rood",IF(AD$1&lt;VLOOKUP($A41,kritische_breedtes[#All],3,FALSE),"geel","groen"))</f>
        <v>groen</v>
      </c>
    </row>
    <row r="43" spans="1:30">
      <c r="A43" t="s">
        <v>188</v>
      </c>
      <c r="C43">
        <f>SUM(SUMIFS($B$4:$B$41,C$4:C$41,{"rood";"geel"}))</f>
        <v>989.18351493930902</v>
      </c>
      <c r="D43">
        <f>SUM(SUMIFS($B$4:$B$41,D$4:D$41,{"rood";"geel"}))</f>
        <v>989.18351493930913</v>
      </c>
      <c r="E43">
        <f>SUM(SUMIFS($B$4:$B$41,E$4:E$41,{"rood";"geel"}))</f>
        <v>219.22379458636783</v>
      </c>
      <c r="F43">
        <f>SUM(SUMIFS($B$4:$B$41,F$4:F$41,{"rood";"geel"}))</f>
        <v>219.22379458636783</v>
      </c>
      <c r="G43">
        <f>SUM(SUMIFS($B$4:$B$41,G$4:G$41,{"rood";"geel"}))</f>
        <v>203.51033090569558</v>
      </c>
      <c r="H43">
        <f>SUM(SUMIFS($B$4:$B$41,H$4:H$41,{"rood";"geel"}))</f>
        <v>117.95925086647989</v>
      </c>
      <c r="I43">
        <f>SUM(SUMIFS($B$4:$B$41,I$4:I$41,{"rood";"geel"}))</f>
        <v>117.95925086647988</v>
      </c>
      <c r="J43">
        <f>SUM(SUMIFS($B$4:$B$41,J$4:J$41,{"rood";"geel"}))</f>
        <v>117.95925086647988</v>
      </c>
      <c r="K43">
        <f>SUM(SUMIFS($B$4:$B$41,K$4:K$41,{"rood";"geel"}))</f>
        <v>58.405284616339841</v>
      </c>
      <c r="L43">
        <f>SUM(SUMIFS($B$4:$B$41,L$4:L$41,{"rood";"geel"}))</f>
        <v>58.405284616339848</v>
      </c>
      <c r="M43">
        <f>SUM(SUMIFS($B$4:$B$41,M$4:M$41,{"rood";"geel"}))</f>
        <v>32.962387589281036</v>
      </c>
      <c r="N43">
        <f>SUM(SUMIFS($B$4:$B$41,N$4:N$41,{"rood";"geel"}))</f>
        <v>32.962387589281036</v>
      </c>
      <c r="O43">
        <f>SUM(SUMIFS($B$4:$B$41,O$4:O$41,{"rood";"geel"}))</f>
        <v>18.936403995163396</v>
      </c>
      <c r="P43">
        <f>SUM(SUMIFS($B$4:$B$41,P$4:P$41,{"rood";"geel"}))</f>
        <v>18.936403995163396</v>
      </c>
      <c r="Q43">
        <f>SUM(SUMIFS($B$4:$B$41,Q$4:Q$41,{"rood";"geel"}))</f>
        <v>15.070929843660124</v>
      </c>
      <c r="R43">
        <f>SUM(SUMIFS($B$4:$B$41,R$4:R$41,{"rood";"geel"}))</f>
        <v>15.070929843660124</v>
      </c>
      <c r="S43">
        <f>SUM(SUMIFS($B$4:$B$41,S$4:S$41,{"rood";"geel"}))</f>
        <v>14.095082594640516</v>
      </c>
      <c r="T43">
        <f>SUM(SUMIFS($B$4:$B$41,T$4:T$41,{"rood";"geel"}))</f>
        <v>14.095082594640518</v>
      </c>
      <c r="U43">
        <f>SUM(SUMIFS($B$4:$B$41,U$4:U$41,{"rood";"geel"}))</f>
        <v>13.969098514771236</v>
      </c>
      <c r="V43">
        <f>SUM(SUMIFS($B$4:$B$41,V$4:V$41,{"rood";"geel"}))</f>
        <v>3.1144478391241819</v>
      </c>
      <c r="W43">
        <f>SUM(SUMIFS($B$4:$B$41,W$4:W$41,{"rood";"geel"}))</f>
        <v>3.0998829548104561</v>
      </c>
      <c r="X43">
        <f>SUM(SUMIFS($B$4:$B$41,X$4:X$41,{"rood";"geel"}))</f>
        <v>3.0987055335032672</v>
      </c>
      <c r="Y43">
        <f>SUM(SUMIFS($B$4:$B$41,Y$4:Y$41,{"rood";"geel"}))</f>
        <v>0.24351397256209142</v>
      </c>
      <c r="Z43">
        <f>SUM(SUMIFS($B$4:$B$41,Z$4:Z$41,{"rood";"geel"}))</f>
        <v>0.24351397256209142</v>
      </c>
      <c r="AA43">
        <f>SUM(SUMIFS($B$4:$B$41,AA$4:AA$41,{"rood";"geel"}))</f>
        <v>6.5301707058823526E-3</v>
      </c>
      <c r="AB43">
        <f>SUM(SUMIFS($B$4:$B$41,AB$4:AB$41,{"rood";"geel"}))</f>
        <v>6.5301707058823526E-3</v>
      </c>
      <c r="AC43">
        <f>SUM(SUMIFS($B$4:$B$41,AC$4:AC$41,{"rood";"geel"}))</f>
        <v>5.5813424836601298E-5</v>
      </c>
      <c r="AD43">
        <f>SUM(SUMIFS($B$4:$B$41,AD$4:AD$41,{"rood";"geel"}))</f>
        <v>0</v>
      </c>
    </row>
    <row r="44" spans="1:30">
      <c r="A44" t="s">
        <v>189</v>
      </c>
      <c r="C44">
        <f t="shared" ref="C44:AD44" si="1">C43/i_fiets_var2</f>
        <v>4.9459175746965451</v>
      </c>
      <c r="D44">
        <f t="shared" si="1"/>
        <v>4.945917574696546</v>
      </c>
      <c r="E44">
        <f t="shared" si="1"/>
        <v>1.0961189729318392</v>
      </c>
      <c r="F44">
        <f t="shared" si="1"/>
        <v>1.0961189729318392</v>
      </c>
      <c r="G44">
        <f t="shared" si="1"/>
        <v>1.017551654528478</v>
      </c>
      <c r="H44">
        <f t="shared" si="1"/>
        <v>0.58979625433239946</v>
      </c>
      <c r="I44">
        <f t="shared" si="1"/>
        <v>0.58979625433239935</v>
      </c>
      <c r="J44">
        <f t="shared" si="1"/>
        <v>0.58979625433239935</v>
      </c>
      <c r="K44">
        <f t="shared" si="1"/>
        <v>0.29202642308169918</v>
      </c>
      <c r="L44">
        <f t="shared" si="1"/>
        <v>0.29202642308169924</v>
      </c>
      <c r="M44">
        <f t="shared" si="1"/>
        <v>0.16481193794640517</v>
      </c>
      <c r="N44">
        <f t="shared" si="1"/>
        <v>0.16481193794640517</v>
      </c>
      <c r="O44">
        <f t="shared" si="1"/>
        <v>9.4682019975816975E-2</v>
      </c>
      <c r="P44">
        <f t="shared" si="1"/>
        <v>9.4682019975816975E-2</v>
      </c>
      <c r="Q44">
        <f t="shared" si="1"/>
        <v>7.5354649218300623E-2</v>
      </c>
      <c r="R44">
        <f t="shared" si="1"/>
        <v>7.5354649218300623E-2</v>
      </c>
      <c r="S44">
        <f t="shared" si="1"/>
        <v>7.0475412973202575E-2</v>
      </c>
      <c r="T44">
        <f t="shared" si="1"/>
        <v>7.0475412973202589E-2</v>
      </c>
      <c r="U44">
        <f t="shared" si="1"/>
        <v>6.984549257385618E-2</v>
      </c>
      <c r="V44">
        <f t="shared" si="1"/>
        <v>1.557223919562091E-2</v>
      </c>
      <c r="W44">
        <f t="shared" si="1"/>
        <v>1.549941477405228E-2</v>
      </c>
      <c r="X44">
        <f t="shared" si="1"/>
        <v>1.5493527667516336E-2</v>
      </c>
      <c r="Y44">
        <f t="shared" si="1"/>
        <v>1.2175698628104571E-3</v>
      </c>
      <c r="Z44">
        <f t="shared" si="1"/>
        <v>1.2175698628104571E-3</v>
      </c>
      <c r="AA44">
        <f t="shared" si="1"/>
        <v>3.2650853529411761E-5</v>
      </c>
      <c r="AB44">
        <f t="shared" si="1"/>
        <v>3.2650853529411761E-5</v>
      </c>
      <c r="AC44">
        <f t="shared" si="1"/>
        <v>2.7906712418300652E-7</v>
      </c>
      <c r="AD44">
        <f t="shared" si="1"/>
        <v>0</v>
      </c>
    </row>
    <row r="46" spans="1:30">
      <c r="A46" t="s">
        <v>190</v>
      </c>
      <c r="B46">
        <v>7.3929999999999998</v>
      </c>
      <c r="C46">
        <f>$B46</f>
        <v>7.3929999999999998</v>
      </c>
      <c r="D46">
        <f t="shared" ref="D46:AD46" si="2">$B46</f>
        <v>7.3929999999999998</v>
      </c>
      <c r="E46">
        <f t="shared" si="2"/>
        <v>7.3929999999999998</v>
      </c>
      <c r="F46">
        <f t="shared" si="2"/>
        <v>7.3929999999999998</v>
      </c>
      <c r="G46">
        <f t="shared" si="2"/>
        <v>7.3929999999999998</v>
      </c>
      <c r="H46">
        <f t="shared" si="2"/>
        <v>7.3929999999999998</v>
      </c>
      <c r="I46">
        <f t="shared" si="2"/>
        <v>7.3929999999999998</v>
      </c>
      <c r="J46">
        <f t="shared" si="2"/>
        <v>7.3929999999999998</v>
      </c>
      <c r="K46">
        <f t="shared" si="2"/>
        <v>7.3929999999999998</v>
      </c>
      <c r="L46">
        <f t="shared" si="2"/>
        <v>7.3929999999999998</v>
      </c>
      <c r="M46">
        <f t="shared" si="2"/>
        <v>7.3929999999999998</v>
      </c>
      <c r="N46">
        <f t="shared" si="2"/>
        <v>7.3929999999999998</v>
      </c>
      <c r="O46">
        <f t="shared" si="2"/>
        <v>7.3929999999999998</v>
      </c>
      <c r="P46">
        <f t="shared" si="2"/>
        <v>7.3929999999999998</v>
      </c>
      <c r="Q46">
        <f t="shared" si="2"/>
        <v>7.3929999999999998</v>
      </c>
      <c r="R46">
        <f t="shared" si="2"/>
        <v>7.3929999999999998</v>
      </c>
      <c r="S46">
        <f t="shared" si="2"/>
        <v>7.3929999999999998</v>
      </c>
      <c r="T46">
        <f t="shared" si="2"/>
        <v>7.3929999999999998</v>
      </c>
      <c r="U46">
        <f t="shared" si="2"/>
        <v>7.3929999999999998</v>
      </c>
      <c r="V46">
        <f t="shared" si="2"/>
        <v>7.3929999999999998</v>
      </c>
      <c r="W46">
        <f t="shared" si="2"/>
        <v>7.3929999999999998</v>
      </c>
      <c r="X46">
        <f t="shared" si="2"/>
        <v>7.3929999999999998</v>
      </c>
      <c r="Y46">
        <f t="shared" si="2"/>
        <v>7.3929999999999998</v>
      </c>
      <c r="Z46">
        <f t="shared" si="2"/>
        <v>7.3929999999999998</v>
      </c>
      <c r="AA46">
        <f t="shared" si="2"/>
        <v>7.3929999999999998</v>
      </c>
      <c r="AB46">
        <f t="shared" si="2"/>
        <v>7.3929999999999998</v>
      </c>
      <c r="AC46">
        <f t="shared" si="2"/>
        <v>7.3929999999999998</v>
      </c>
      <c r="AD46">
        <f t="shared" si="2"/>
        <v>7.3929999999999998</v>
      </c>
    </row>
    <row r="47" spans="1:30">
      <c r="A47" t="s">
        <v>191</v>
      </c>
      <c r="B47">
        <v>-0.19500000000000001</v>
      </c>
      <c r="C47">
        <f t="shared" ref="C47:AD47" si="3">$B47*C44</f>
        <v>-0.96445392706582633</v>
      </c>
      <c r="D47">
        <f t="shared" si="3"/>
        <v>-0.96445392706582656</v>
      </c>
      <c r="E47">
        <f t="shared" si="3"/>
        <v>-0.21374319972170866</v>
      </c>
      <c r="F47">
        <f t="shared" si="3"/>
        <v>-0.21374319972170866</v>
      </c>
      <c r="G47">
        <f t="shared" si="3"/>
        <v>-0.19842257263305321</v>
      </c>
      <c r="H47">
        <f t="shared" si="3"/>
        <v>-0.1150102695948179</v>
      </c>
      <c r="I47">
        <f t="shared" si="3"/>
        <v>-0.11501026959481787</v>
      </c>
      <c r="J47">
        <f t="shared" si="3"/>
        <v>-0.11501026959481787</v>
      </c>
      <c r="K47">
        <f t="shared" si="3"/>
        <v>-5.6945152500931344E-2</v>
      </c>
      <c r="L47">
        <f t="shared" si="3"/>
        <v>-5.6945152500931351E-2</v>
      </c>
      <c r="M47">
        <f t="shared" si="3"/>
        <v>-3.2138327899549006E-2</v>
      </c>
      <c r="N47">
        <f t="shared" si="3"/>
        <v>-3.2138327899549006E-2</v>
      </c>
      <c r="O47">
        <f t="shared" si="3"/>
        <v>-1.8462993895284312E-2</v>
      </c>
      <c r="P47">
        <f t="shared" si="3"/>
        <v>-1.8462993895284312E-2</v>
      </c>
      <c r="Q47">
        <f t="shared" si="3"/>
        <v>-1.4694156597568621E-2</v>
      </c>
      <c r="R47">
        <f t="shared" si="3"/>
        <v>-1.4694156597568621E-2</v>
      </c>
      <c r="S47">
        <f t="shared" si="3"/>
        <v>-1.3742705529774503E-2</v>
      </c>
      <c r="T47">
        <f t="shared" si="3"/>
        <v>-1.3742705529774505E-2</v>
      </c>
      <c r="U47">
        <f t="shared" si="3"/>
        <v>-1.3619871051901955E-2</v>
      </c>
      <c r="V47">
        <f t="shared" si="3"/>
        <v>-3.0365866431460776E-3</v>
      </c>
      <c r="W47">
        <f t="shared" si="3"/>
        <v>-3.0223858809401948E-3</v>
      </c>
      <c r="X47">
        <f t="shared" si="3"/>
        <v>-3.0212378951656855E-3</v>
      </c>
      <c r="Y47">
        <f t="shared" si="3"/>
        <v>-2.3742612324803916E-4</v>
      </c>
      <c r="Z47">
        <f t="shared" si="3"/>
        <v>-2.3742612324803916E-4</v>
      </c>
      <c r="AA47">
        <f t="shared" si="3"/>
        <v>-6.3669164382352936E-6</v>
      </c>
      <c r="AB47">
        <f t="shared" si="3"/>
        <v>-6.3669164382352936E-6</v>
      </c>
      <c r="AC47">
        <f t="shared" si="3"/>
        <v>-5.4418089215686276E-8</v>
      </c>
      <c r="AD47">
        <f t="shared" si="3"/>
        <v>0</v>
      </c>
    </row>
    <row r="48" spans="1:30">
      <c r="A48" t="s">
        <v>192</v>
      </c>
      <c r="B48">
        <v>2E-3</v>
      </c>
      <c r="C48">
        <f t="shared" ref="C48:AD48" si="4">$B48*(i_fiets_var2-250)</f>
        <v>-0.1</v>
      </c>
      <c r="D48">
        <f t="shared" si="4"/>
        <v>-0.1</v>
      </c>
      <c r="E48">
        <f t="shared" si="4"/>
        <v>-0.1</v>
      </c>
      <c r="F48">
        <f t="shared" si="4"/>
        <v>-0.1</v>
      </c>
      <c r="G48">
        <f t="shared" si="4"/>
        <v>-0.1</v>
      </c>
      <c r="H48">
        <f t="shared" si="4"/>
        <v>-0.1</v>
      </c>
      <c r="I48">
        <f t="shared" si="4"/>
        <v>-0.1</v>
      </c>
      <c r="J48">
        <f t="shared" si="4"/>
        <v>-0.1</v>
      </c>
      <c r="K48">
        <f t="shared" si="4"/>
        <v>-0.1</v>
      </c>
      <c r="L48">
        <f t="shared" si="4"/>
        <v>-0.1</v>
      </c>
      <c r="M48">
        <f t="shared" si="4"/>
        <v>-0.1</v>
      </c>
      <c r="N48">
        <f t="shared" si="4"/>
        <v>-0.1</v>
      </c>
      <c r="O48">
        <f t="shared" si="4"/>
        <v>-0.1</v>
      </c>
      <c r="P48">
        <f t="shared" si="4"/>
        <v>-0.1</v>
      </c>
      <c r="Q48">
        <f t="shared" si="4"/>
        <v>-0.1</v>
      </c>
      <c r="R48">
        <f t="shared" si="4"/>
        <v>-0.1</v>
      </c>
      <c r="S48">
        <f t="shared" si="4"/>
        <v>-0.1</v>
      </c>
      <c r="T48">
        <f t="shared" si="4"/>
        <v>-0.1</v>
      </c>
      <c r="U48">
        <f t="shared" si="4"/>
        <v>-0.1</v>
      </c>
      <c r="V48">
        <f t="shared" si="4"/>
        <v>-0.1</v>
      </c>
      <c r="W48">
        <f t="shared" si="4"/>
        <v>-0.1</v>
      </c>
      <c r="X48">
        <f t="shared" si="4"/>
        <v>-0.1</v>
      </c>
      <c r="Y48">
        <f t="shared" si="4"/>
        <v>-0.1</v>
      </c>
      <c r="Z48">
        <f t="shared" si="4"/>
        <v>-0.1</v>
      </c>
      <c r="AA48">
        <f t="shared" si="4"/>
        <v>-0.1</v>
      </c>
      <c r="AB48">
        <f t="shared" si="4"/>
        <v>-0.1</v>
      </c>
      <c r="AC48">
        <f t="shared" si="4"/>
        <v>-0.1</v>
      </c>
      <c r="AD48">
        <f t="shared" si="4"/>
        <v>-0.1</v>
      </c>
    </row>
    <row r="49" spans="1:30">
      <c r="A49" t="s">
        <v>193</v>
      </c>
      <c r="C49">
        <f>MAX(C47:C48)</f>
        <v>-0.1</v>
      </c>
      <c r="D49">
        <f t="shared" ref="D49:AD49" si="5">MAX(D47:D48)</f>
        <v>-0.1</v>
      </c>
      <c r="E49">
        <f t="shared" si="5"/>
        <v>-0.1</v>
      </c>
      <c r="F49">
        <f t="shared" si="5"/>
        <v>-0.1</v>
      </c>
      <c r="G49">
        <f t="shared" si="5"/>
        <v>-0.1</v>
      </c>
      <c r="H49">
        <f t="shared" si="5"/>
        <v>-0.1</v>
      </c>
      <c r="I49">
        <f t="shared" si="5"/>
        <v>-0.1</v>
      </c>
      <c r="J49">
        <f t="shared" si="5"/>
        <v>-0.1</v>
      </c>
      <c r="K49">
        <f t="shared" si="5"/>
        <v>-5.6945152500931344E-2</v>
      </c>
      <c r="L49">
        <f t="shared" si="5"/>
        <v>-5.6945152500931351E-2</v>
      </c>
      <c r="M49">
        <f t="shared" si="5"/>
        <v>-3.2138327899549006E-2</v>
      </c>
      <c r="N49">
        <f t="shared" si="5"/>
        <v>-3.2138327899549006E-2</v>
      </c>
      <c r="O49">
        <f t="shared" si="5"/>
        <v>-1.8462993895284312E-2</v>
      </c>
      <c r="P49">
        <f t="shared" si="5"/>
        <v>-1.8462993895284312E-2</v>
      </c>
      <c r="Q49">
        <f t="shared" si="5"/>
        <v>-1.4694156597568621E-2</v>
      </c>
      <c r="R49">
        <f t="shared" si="5"/>
        <v>-1.4694156597568621E-2</v>
      </c>
      <c r="S49">
        <f t="shared" si="5"/>
        <v>-1.3742705529774503E-2</v>
      </c>
      <c r="T49">
        <f t="shared" si="5"/>
        <v>-1.3742705529774505E-2</v>
      </c>
      <c r="U49">
        <f t="shared" si="5"/>
        <v>-1.3619871051901955E-2</v>
      </c>
      <c r="V49">
        <f t="shared" si="5"/>
        <v>-3.0365866431460776E-3</v>
      </c>
      <c r="W49">
        <f t="shared" si="5"/>
        <v>-3.0223858809401948E-3</v>
      </c>
      <c r="X49">
        <f t="shared" si="5"/>
        <v>-3.0212378951656855E-3</v>
      </c>
      <c r="Y49">
        <f t="shared" si="5"/>
        <v>-2.3742612324803916E-4</v>
      </c>
      <c r="Z49">
        <f t="shared" si="5"/>
        <v>-2.3742612324803916E-4</v>
      </c>
      <c r="AA49">
        <f t="shared" si="5"/>
        <v>-6.3669164382352936E-6</v>
      </c>
      <c r="AB49">
        <f t="shared" si="5"/>
        <v>-6.3669164382352936E-6</v>
      </c>
      <c r="AC49">
        <f t="shared" si="5"/>
        <v>-5.4418089215686276E-8</v>
      </c>
      <c r="AD49">
        <f t="shared" si="5"/>
        <v>0</v>
      </c>
    </row>
    <row r="50" spans="1:30">
      <c r="A50" t="s">
        <v>194</v>
      </c>
      <c r="C50">
        <f>MIN(0.5,C49)</f>
        <v>-0.1</v>
      </c>
      <c r="D50">
        <f t="shared" ref="D50:AD50" si="6">MIN(0.5,D49)</f>
        <v>-0.1</v>
      </c>
      <c r="E50">
        <f t="shared" si="6"/>
        <v>-0.1</v>
      </c>
      <c r="F50">
        <f t="shared" si="6"/>
        <v>-0.1</v>
      </c>
      <c r="G50">
        <f t="shared" si="6"/>
        <v>-0.1</v>
      </c>
      <c r="H50">
        <f t="shared" si="6"/>
        <v>-0.1</v>
      </c>
      <c r="I50">
        <f t="shared" si="6"/>
        <v>-0.1</v>
      </c>
      <c r="J50">
        <f t="shared" si="6"/>
        <v>-0.1</v>
      </c>
      <c r="K50">
        <f t="shared" si="6"/>
        <v>-5.6945152500931344E-2</v>
      </c>
      <c r="L50">
        <f t="shared" si="6"/>
        <v>-5.6945152500931351E-2</v>
      </c>
      <c r="M50">
        <f t="shared" si="6"/>
        <v>-3.2138327899549006E-2</v>
      </c>
      <c r="N50">
        <f t="shared" si="6"/>
        <v>-3.2138327899549006E-2</v>
      </c>
      <c r="O50">
        <f t="shared" si="6"/>
        <v>-1.8462993895284312E-2</v>
      </c>
      <c r="P50">
        <f t="shared" si="6"/>
        <v>-1.8462993895284312E-2</v>
      </c>
      <c r="Q50">
        <f t="shared" si="6"/>
        <v>-1.4694156597568621E-2</v>
      </c>
      <c r="R50">
        <f t="shared" si="6"/>
        <v>-1.4694156597568621E-2</v>
      </c>
      <c r="S50">
        <f t="shared" si="6"/>
        <v>-1.3742705529774503E-2</v>
      </c>
      <c r="T50">
        <f t="shared" si="6"/>
        <v>-1.3742705529774505E-2</v>
      </c>
      <c r="U50">
        <f t="shared" si="6"/>
        <v>-1.3619871051901955E-2</v>
      </c>
      <c r="V50">
        <f t="shared" si="6"/>
        <v>-3.0365866431460776E-3</v>
      </c>
      <c r="W50">
        <f t="shared" si="6"/>
        <v>-3.0223858809401948E-3</v>
      </c>
      <c r="X50">
        <f t="shared" si="6"/>
        <v>-3.0212378951656855E-3</v>
      </c>
      <c r="Y50">
        <f t="shared" si="6"/>
        <v>-2.3742612324803916E-4</v>
      </c>
      <c r="Z50">
        <f t="shared" si="6"/>
        <v>-2.3742612324803916E-4</v>
      </c>
      <c r="AA50">
        <f t="shared" si="6"/>
        <v>-6.3669164382352936E-6</v>
      </c>
      <c r="AB50">
        <f t="shared" si="6"/>
        <v>-6.3669164382352936E-6</v>
      </c>
      <c r="AC50">
        <f t="shared" si="6"/>
        <v>-5.4418089215686276E-8</v>
      </c>
      <c r="AD50">
        <f t="shared" si="6"/>
        <v>0</v>
      </c>
    </row>
    <row r="52" spans="1:30">
      <c r="A52" t="s">
        <v>195</v>
      </c>
      <c r="C52">
        <f>SUM(C46,C47,C50)</f>
        <v>6.3285460729341736</v>
      </c>
      <c r="D52">
        <f t="shared" ref="D52:AD52" si="7">SUM(D46,D47,D50)</f>
        <v>6.3285460729341736</v>
      </c>
      <c r="E52">
        <f t="shared" si="7"/>
        <v>7.0792568002782916</v>
      </c>
      <c r="F52">
        <f t="shared" si="7"/>
        <v>7.0792568002782916</v>
      </c>
      <c r="G52">
        <f t="shared" si="7"/>
        <v>7.0945774273669473</v>
      </c>
      <c r="H52">
        <f t="shared" si="7"/>
        <v>7.1779897304051818</v>
      </c>
      <c r="I52">
        <f t="shared" si="7"/>
        <v>7.1779897304051818</v>
      </c>
      <c r="J52">
        <f t="shared" si="7"/>
        <v>7.1779897304051818</v>
      </c>
      <c r="K52">
        <f t="shared" si="7"/>
        <v>7.2791096949981364</v>
      </c>
      <c r="L52">
        <f t="shared" si="7"/>
        <v>7.2791096949981364</v>
      </c>
      <c r="M52">
        <f t="shared" si="7"/>
        <v>7.3287233442009017</v>
      </c>
      <c r="N52">
        <f t="shared" si="7"/>
        <v>7.3287233442009017</v>
      </c>
      <c r="O52">
        <f t="shared" si="7"/>
        <v>7.3560740122094304</v>
      </c>
      <c r="P52">
        <f t="shared" si="7"/>
        <v>7.3560740122094304</v>
      </c>
      <c r="Q52">
        <f t="shared" si="7"/>
        <v>7.3636116868048633</v>
      </c>
      <c r="R52">
        <f t="shared" si="7"/>
        <v>7.3636116868048633</v>
      </c>
      <c r="S52">
        <f t="shared" si="7"/>
        <v>7.3655145889404503</v>
      </c>
      <c r="T52">
        <f t="shared" si="7"/>
        <v>7.3655145889404503</v>
      </c>
      <c r="U52">
        <f t="shared" si="7"/>
        <v>7.3657602578961958</v>
      </c>
      <c r="V52">
        <f t="shared" si="7"/>
        <v>7.3869268267137072</v>
      </c>
      <c r="W52">
        <f t="shared" si="7"/>
        <v>7.3869552282381195</v>
      </c>
      <c r="X52">
        <f t="shared" si="7"/>
        <v>7.3869575242096692</v>
      </c>
      <c r="Y52">
        <f t="shared" si="7"/>
        <v>7.3925251477535037</v>
      </c>
      <c r="Z52">
        <f t="shared" si="7"/>
        <v>7.3925251477535037</v>
      </c>
      <c r="AA52">
        <f t="shared" si="7"/>
        <v>7.3929872661671228</v>
      </c>
      <c r="AB52">
        <f t="shared" si="7"/>
        <v>7.3929872661671228</v>
      </c>
      <c r="AC52">
        <f t="shared" si="7"/>
        <v>7.3929998911638206</v>
      </c>
      <c r="AD52">
        <f t="shared" si="7"/>
        <v>7.3929999999999998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01B91-BC75-41DA-BCD9-9AB686794018}">
  <sheetPr codeName="Blad8"/>
  <dimension ref="A1:AC26"/>
  <sheetViews>
    <sheetView topLeftCell="I1" workbookViewId="0">
      <selection activeCell="K2" sqref="K2"/>
    </sheetView>
  </sheetViews>
  <sheetFormatPr defaultRowHeight="12.5"/>
  <cols>
    <col min="1" max="1" width="47.26953125" bestFit="1" customWidth="1"/>
    <col min="2" max="2" width="13.1796875" customWidth="1"/>
    <col min="5" max="5" width="12.7265625" customWidth="1"/>
    <col min="6" max="6" width="25.81640625" customWidth="1"/>
    <col min="7" max="7" width="23" customWidth="1"/>
    <col min="10" max="10" width="23.1796875" bestFit="1" customWidth="1"/>
    <col min="15" max="15" width="11.54296875" bestFit="1" customWidth="1"/>
    <col min="16" max="16" width="11" bestFit="1" customWidth="1"/>
    <col min="17" max="17" width="11.26953125" bestFit="1" customWidth="1"/>
    <col min="23" max="23" width="9.453125" bestFit="1" customWidth="1"/>
    <col min="24" max="24" width="9.453125" customWidth="1"/>
  </cols>
  <sheetData>
    <row r="1" spans="1:29" ht="15" thickBot="1">
      <c r="A1" t="s">
        <v>196</v>
      </c>
      <c r="B1" t="s">
        <v>197</v>
      </c>
      <c r="E1" t="s">
        <v>198</v>
      </c>
      <c r="F1" t="s">
        <v>199</v>
      </c>
      <c r="G1" t="s">
        <v>200</v>
      </c>
      <c r="O1" s="10" t="s">
        <v>201</v>
      </c>
      <c r="P1" s="10" t="s">
        <v>202</v>
      </c>
      <c r="Q1" s="10" t="s">
        <v>65</v>
      </c>
      <c r="V1" t="s">
        <v>37</v>
      </c>
      <c r="W1" t="s">
        <v>39</v>
      </c>
      <c r="X1" t="s">
        <v>41</v>
      </c>
      <c r="Y1" t="s">
        <v>43</v>
      </c>
      <c r="Z1" t="s">
        <v>45</v>
      </c>
    </row>
    <row r="2" spans="1:29" ht="14.5">
      <c r="A2" t="s">
        <v>15</v>
      </c>
      <c r="B2" s="7" t="s">
        <v>203</v>
      </c>
      <c r="E2" t="s">
        <v>86</v>
      </c>
      <c r="F2">
        <v>300</v>
      </c>
      <c r="G2">
        <v>390</v>
      </c>
      <c r="J2" s="8" t="s">
        <v>204</v>
      </c>
      <c r="K2">
        <v>10</v>
      </c>
      <c r="L2" t="s">
        <v>205</v>
      </c>
      <c r="O2">
        <v>0</v>
      </c>
      <c r="P2">
        <v>6.6</v>
      </c>
      <c r="Q2" t="s">
        <v>206</v>
      </c>
      <c r="T2">
        <v>0</v>
      </c>
      <c r="U2">
        <v>450</v>
      </c>
      <c r="V2" t="b">
        <v>1</v>
      </c>
      <c r="W2" t="b">
        <v>0</v>
      </c>
      <c r="X2" t="b">
        <v>0</v>
      </c>
      <c r="Y2" t="b">
        <v>0</v>
      </c>
      <c r="Z2" t="b">
        <v>0</v>
      </c>
      <c r="AB2" t="s">
        <v>37</v>
      </c>
      <c r="AC2" t="s">
        <v>38</v>
      </c>
    </row>
    <row r="3" spans="1:29" ht="14.5">
      <c r="A3" t="s">
        <v>207</v>
      </c>
      <c r="B3">
        <v>300</v>
      </c>
      <c r="E3" t="s">
        <v>92</v>
      </c>
      <c r="F3">
        <v>380</v>
      </c>
      <c r="G3">
        <v>480</v>
      </c>
      <c r="J3" s="8" t="s">
        <v>208</v>
      </c>
      <c r="K3">
        <v>2</v>
      </c>
      <c r="L3" t="s">
        <v>209</v>
      </c>
      <c r="O3">
        <f>P2</f>
        <v>6.6</v>
      </c>
      <c r="P3">
        <v>6.9</v>
      </c>
      <c r="Q3" t="s">
        <v>210</v>
      </c>
      <c r="T3">
        <v>450</v>
      </c>
      <c r="U3">
        <v>480</v>
      </c>
      <c r="V3" t="b">
        <v>1</v>
      </c>
      <c r="W3" t="b">
        <v>1</v>
      </c>
      <c r="X3" t="b">
        <v>0</v>
      </c>
      <c r="Y3" t="b">
        <v>0</v>
      </c>
      <c r="Z3" t="b">
        <v>0</v>
      </c>
      <c r="AB3" t="s">
        <v>39</v>
      </c>
      <c r="AC3" t="s">
        <v>40</v>
      </c>
    </row>
    <row r="4" spans="1:29" ht="14.5">
      <c r="A4" t="s">
        <v>211</v>
      </c>
      <c r="B4">
        <v>450</v>
      </c>
      <c r="E4" t="s">
        <v>99</v>
      </c>
      <c r="F4">
        <v>380</v>
      </c>
      <c r="G4">
        <v>470</v>
      </c>
      <c r="J4" s="8" t="s">
        <v>212</v>
      </c>
      <c r="K4">
        <v>6</v>
      </c>
      <c r="L4" t="s">
        <v>209</v>
      </c>
      <c r="O4">
        <f>P3</f>
        <v>6.9</v>
      </c>
      <c r="P4">
        <v>7.3</v>
      </c>
      <c r="Q4" t="s">
        <v>213</v>
      </c>
      <c r="T4">
        <v>480</v>
      </c>
      <c r="U4">
        <v>520</v>
      </c>
      <c r="V4" t="b">
        <v>0</v>
      </c>
      <c r="W4" t="b">
        <v>0</v>
      </c>
      <c r="X4" t="b">
        <v>1</v>
      </c>
      <c r="Y4" t="b">
        <v>0</v>
      </c>
      <c r="Z4" t="b">
        <v>0</v>
      </c>
      <c r="AB4" t="s">
        <v>41</v>
      </c>
      <c r="AC4" t="s">
        <v>42</v>
      </c>
    </row>
    <row r="5" spans="1:29" ht="14.5">
      <c r="A5" t="s">
        <v>214</v>
      </c>
      <c r="B5">
        <v>480</v>
      </c>
      <c r="E5" t="s">
        <v>105</v>
      </c>
      <c r="F5">
        <v>459.99999999999994</v>
      </c>
      <c r="G5">
        <v>560</v>
      </c>
      <c r="J5" s="8" t="s">
        <v>215</v>
      </c>
      <c r="K5">
        <v>1000</v>
      </c>
      <c r="L5" t="s">
        <v>209</v>
      </c>
      <c r="O5">
        <f>P4</f>
        <v>7.3</v>
      </c>
      <c r="P5">
        <v>10</v>
      </c>
      <c r="Q5" t="s">
        <v>216</v>
      </c>
      <c r="T5">
        <v>520</v>
      </c>
      <c r="U5">
        <v>650</v>
      </c>
      <c r="V5" t="b">
        <v>0</v>
      </c>
      <c r="W5" t="b">
        <v>0</v>
      </c>
      <c r="X5" t="b">
        <v>0</v>
      </c>
      <c r="Y5" t="b">
        <v>1</v>
      </c>
      <c r="Z5" t="b">
        <v>0</v>
      </c>
      <c r="AB5" t="s">
        <v>43</v>
      </c>
      <c r="AC5" t="s">
        <v>44</v>
      </c>
    </row>
    <row r="6" spans="1:29" ht="14.5">
      <c r="A6" t="s">
        <v>217</v>
      </c>
      <c r="B6">
        <v>550</v>
      </c>
      <c r="E6" t="s">
        <v>88</v>
      </c>
      <c r="F6">
        <v>470</v>
      </c>
      <c r="G6">
        <v>560</v>
      </c>
      <c r="J6" s="8" t="s">
        <v>218</v>
      </c>
      <c r="K6">
        <v>3600</v>
      </c>
      <c r="L6" t="s">
        <v>205</v>
      </c>
      <c r="T6">
        <v>650</v>
      </c>
      <c r="U6">
        <v>720</v>
      </c>
      <c r="V6" t="b">
        <v>0</v>
      </c>
      <c r="W6" t="b">
        <v>0</v>
      </c>
      <c r="X6" t="b">
        <v>0</v>
      </c>
      <c r="Y6" t="b">
        <v>1</v>
      </c>
      <c r="Z6" t="b">
        <v>1</v>
      </c>
      <c r="AB6" t="s">
        <v>45</v>
      </c>
      <c r="AC6" t="s">
        <v>46</v>
      </c>
    </row>
    <row r="7" spans="1:29">
      <c r="A7" t="s">
        <v>219</v>
      </c>
      <c r="B7">
        <v>650</v>
      </c>
      <c r="E7" t="s">
        <v>94</v>
      </c>
      <c r="F7">
        <v>550</v>
      </c>
      <c r="G7">
        <v>640</v>
      </c>
      <c r="T7">
        <v>720</v>
      </c>
      <c r="U7">
        <v>840</v>
      </c>
      <c r="V7" t="b">
        <v>0</v>
      </c>
      <c r="W7" t="b">
        <v>0</v>
      </c>
      <c r="X7" t="b">
        <v>0</v>
      </c>
      <c r="Y7" t="b">
        <v>0</v>
      </c>
      <c r="Z7" t="b">
        <v>1</v>
      </c>
    </row>
    <row r="8" spans="1:29">
      <c r="E8" t="s">
        <v>101</v>
      </c>
      <c r="F8">
        <v>550</v>
      </c>
      <c r="G8">
        <v>640</v>
      </c>
      <c r="T8">
        <v>840</v>
      </c>
      <c r="U8">
        <v>100000</v>
      </c>
    </row>
    <row r="9" spans="1:29">
      <c r="E9" t="s">
        <v>107</v>
      </c>
      <c r="F9">
        <v>630</v>
      </c>
      <c r="G9">
        <v>720</v>
      </c>
    </row>
    <row r="10" spans="1:29">
      <c r="E10" t="s">
        <v>111</v>
      </c>
      <c r="F10">
        <v>630</v>
      </c>
      <c r="G10">
        <v>720</v>
      </c>
    </row>
    <row r="11" spans="1:29">
      <c r="E11" t="s">
        <v>113</v>
      </c>
      <c r="F11">
        <v>710</v>
      </c>
      <c r="G11">
        <v>800</v>
      </c>
    </row>
    <row r="12" spans="1:29">
      <c r="E12" t="s">
        <v>120</v>
      </c>
      <c r="F12">
        <v>509.99999999999994</v>
      </c>
      <c r="G12">
        <v>600</v>
      </c>
    </row>
    <row r="13" spans="1:29">
      <c r="E13" t="s">
        <v>123</v>
      </c>
      <c r="F13">
        <v>590</v>
      </c>
      <c r="G13">
        <v>680</v>
      </c>
    </row>
    <row r="14" spans="1:29">
      <c r="E14" t="s">
        <v>127</v>
      </c>
      <c r="F14">
        <v>669.99999999999989</v>
      </c>
      <c r="G14">
        <v>760</v>
      </c>
    </row>
    <row r="15" spans="1:29">
      <c r="E15" t="s">
        <v>131</v>
      </c>
      <c r="F15">
        <v>590</v>
      </c>
      <c r="G15">
        <v>680</v>
      </c>
    </row>
    <row r="16" spans="1:29">
      <c r="E16" t="s">
        <v>134</v>
      </c>
      <c r="F16">
        <v>669.99999999999989</v>
      </c>
      <c r="G16">
        <v>760</v>
      </c>
    </row>
    <row r="17" spans="5:7">
      <c r="E17" t="s">
        <v>137</v>
      </c>
      <c r="F17">
        <v>749.99999999999989</v>
      </c>
      <c r="G17">
        <v>840</v>
      </c>
    </row>
    <row r="18" spans="5:7">
      <c r="E18" t="s">
        <v>144</v>
      </c>
      <c r="F18">
        <v>680</v>
      </c>
      <c r="G18">
        <v>770</v>
      </c>
    </row>
    <row r="19" spans="5:7">
      <c r="E19" t="s">
        <v>154</v>
      </c>
      <c r="F19">
        <v>760</v>
      </c>
      <c r="G19">
        <v>850</v>
      </c>
    </row>
    <row r="20" spans="5:7">
      <c r="E20" t="s">
        <v>160</v>
      </c>
      <c r="F20">
        <v>840</v>
      </c>
      <c r="G20">
        <v>930</v>
      </c>
    </row>
    <row r="21" spans="5:7">
      <c r="E21" t="s">
        <v>149</v>
      </c>
      <c r="F21">
        <v>760</v>
      </c>
      <c r="G21">
        <v>850</v>
      </c>
    </row>
    <row r="22" spans="5:7">
      <c r="E22" t="s">
        <v>157</v>
      </c>
      <c r="F22">
        <v>840</v>
      </c>
      <c r="G22">
        <v>930</v>
      </c>
    </row>
    <row r="23" spans="5:7">
      <c r="E23" t="s">
        <v>163</v>
      </c>
      <c r="F23">
        <v>920.00000000000011</v>
      </c>
      <c r="G23">
        <v>1010</v>
      </c>
    </row>
    <row r="24" spans="5:7">
      <c r="E24" t="s">
        <v>166</v>
      </c>
      <c r="F24">
        <v>840</v>
      </c>
      <c r="G24">
        <v>930</v>
      </c>
    </row>
    <row r="25" spans="5:7">
      <c r="E25" t="s">
        <v>168</v>
      </c>
      <c r="F25">
        <v>920.00000000000011</v>
      </c>
      <c r="G25">
        <v>1010</v>
      </c>
    </row>
    <row r="26" spans="5:7">
      <c r="E26" t="s">
        <v>170</v>
      </c>
      <c r="F26">
        <v>1000.0000000000002</v>
      </c>
      <c r="G26">
        <v>1090</v>
      </c>
    </row>
  </sheetData>
  <pageMargins left="0.7" right="0.7" top="0.75" bottom="0.75" header="0.3" footer="0.3"/>
  <pageSetup paperSize="9" orientation="portrait" verticalDpi="0"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00D1E-CDC7-4B5D-A012-A60A95694F40}">
  <sheetPr codeName="Blad9"/>
  <dimension ref="A1:B7"/>
  <sheetViews>
    <sheetView workbookViewId="0">
      <selection activeCell="C2" sqref="C2:AD2"/>
    </sheetView>
  </sheetViews>
  <sheetFormatPr defaultRowHeight="12.5"/>
  <cols>
    <col min="2" max="2" width="137.1796875" customWidth="1"/>
  </cols>
  <sheetData>
    <row r="1" spans="1:2" ht="14.5">
      <c r="A1" s="42" t="s">
        <v>220</v>
      </c>
      <c r="B1" s="42" t="s">
        <v>221</v>
      </c>
    </row>
    <row r="2" spans="1:2" ht="300" customHeight="1">
      <c r="A2" t="s">
        <v>37</v>
      </c>
    </row>
    <row r="3" spans="1:2" ht="300" customHeight="1">
      <c r="A3" t="s">
        <v>39</v>
      </c>
    </row>
    <row r="4" spans="1:2" ht="300" customHeight="1">
      <c r="A4" t="s">
        <v>41</v>
      </c>
    </row>
    <row r="5" spans="1:2" ht="300" customHeight="1">
      <c r="A5" t="s">
        <v>43</v>
      </c>
    </row>
    <row r="6" spans="1:2" ht="300" customHeight="1">
      <c r="A6" t="s">
        <v>45</v>
      </c>
    </row>
    <row r="7" spans="1:2" ht="300" customHeight="1">
      <c r="A7" t="s">
        <v>47</v>
      </c>
    </row>
  </sheetData>
  <pageMargins left="0.7" right="0.7" top="0.75" bottom="0.75" header="0.3" footer="0.3"/>
  <pageSetup paperSize="9"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70FC6409CA9C489FF65BC82E17B9AB" ma:contentTypeVersion="15" ma:contentTypeDescription="Een nieuw document maken." ma:contentTypeScope="" ma:versionID="61b5de2561ea0bae5f8a140ae3b8590f">
  <xsd:schema xmlns:xsd="http://www.w3.org/2001/XMLSchema" xmlns:xs="http://www.w3.org/2001/XMLSchema" xmlns:p="http://schemas.microsoft.com/office/2006/metadata/properties" xmlns:ns2="fa8167cf-23e3-4b37-901a-1dfe8ccc24b6" xmlns:ns3="45753cb5-64be-49b9-8285-45b83e2b667a" targetNamespace="http://schemas.microsoft.com/office/2006/metadata/properties" ma:root="true" ma:fieldsID="09f4450833fcbef1dbedb6fe743885e3" ns2:_="" ns3:_="">
    <xsd:import namespace="fa8167cf-23e3-4b37-901a-1dfe8ccc24b6"/>
    <xsd:import namespace="45753cb5-64be-49b9-8285-45b83e2b667a"/>
    <xsd:element name="properties">
      <xsd:complexType>
        <xsd:sequence>
          <xsd:element name="documentManagement">
            <xsd:complexType>
              <xsd:all>
                <xsd:element ref="ns2:_Orde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a8167cf-23e3-4b37-901a-1dfe8ccc24b6"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753cb5-64be-49b9-8285-45b83e2b667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cd3d419-840d-45a5-b4cf-542ddac9323f}" ma:internalName="TaxCatchAll" ma:showField="CatchAllData" ma:web="45753cb5-64be-49b9-8285-45b83e2b66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5753cb5-64be-49b9-8285-45b83e2b667a" xsi:nil="true"/>
    <lcf76f155ced4ddcb4097134ff3c332f xmlns="fa8167cf-23e3-4b37-901a-1dfe8ccc24b6">
      <Terms xmlns="http://schemas.microsoft.com/office/infopath/2007/PartnerControls"/>
    </lcf76f155ced4ddcb4097134ff3c332f>
    <_Order xmlns="fa8167cf-23e3-4b37-901a-1dfe8ccc24b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9AD04D-261F-4AE4-922A-5DC8541E68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a8167cf-23e3-4b37-901a-1dfe8ccc24b6"/>
    <ds:schemaRef ds:uri="45753cb5-64be-49b9-8285-45b83e2b66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67DAEC-FE44-48D5-9AEA-EFD09AC0282D}">
  <ds:schemaRefs>
    <ds:schemaRef ds:uri="http://schemas.microsoft.com/office/2006/documentManagement/types"/>
    <ds:schemaRef ds:uri="http://purl.org/dc/terms/"/>
    <ds:schemaRef ds:uri="http://schemas.openxmlformats.org/package/2006/metadata/core-properties"/>
    <ds:schemaRef ds:uri="http://www.w3.org/XML/1998/namespace"/>
    <ds:schemaRef ds:uri="http://schemas.microsoft.com/office/2006/metadata/properties"/>
    <ds:schemaRef ds:uri="http://purl.org/dc/elements/1.1/"/>
    <ds:schemaRef ds:uri="http://schemas.microsoft.com/office/infopath/2007/PartnerControls"/>
    <ds:schemaRef ds:uri="45753cb5-64be-49b9-8285-45b83e2b667a"/>
    <ds:schemaRef ds:uri="fa8167cf-23e3-4b37-901a-1dfe8ccc24b6"/>
    <ds:schemaRef ds:uri="http://purl.org/dc/dcmitype/"/>
  </ds:schemaRefs>
</ds:datastoreItem>
</file>

<file path=customXml/itemProps3.xml><?xml version="1.0" encoding="utf-8"?>
<ds:datastoreItem xmlns:ds="http://schemas.openxmlformats.org/officeDocument/2006/customXml" ds:itemID="{D11E066C-734D-4D44-B61E-3389E0ED40EE}">
  <ds:schemaRefs>
    <ds:schemaRef ds:uri="http://schemas.microsoft.com/sharepoint/v3/contenttype/forms"/>
  </ds:schemaRefs>
</ds:datastoreItem>
</file>

<file path=docMetadata/LabelInfo.xml><?xml version="1.0" encoding="utf-8"?>
<clbl:labelList xmlns:clbl="http://schemas.microsoft.com/office/2020/mipLabelMetadata">
  <clbl:label id="{07174a57-6158-4475-9f62-9d79dd63f0d3}" enabled="1" method="Standard" siteId="{b80d895d-b11e-4195-a87a-5a846c60401a}"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66</vt:i4>
      </vt:variant>
    </vt:vector>
  </HeadingPairs>
  <TitlesOfParts>
    <vt:vector size="75" baseType="lpstr">
      <vt:lpstr>Home</vt:lpstr>
      <vt:lpstr>Gewenste rijbaanbreedte</vt:lpstr>
      <vt:lpstr>Spelen met de rijbaanbreedte</vt:lpstr>
      <vt:lpstr>Details variant 1</vt:lpstr>
      <vt:lpstr>Details variant 2</vt:lpstr>
      <vt:lpstr>berekeningen variant 1</vt:lpstr>
      <vt:lpstr>berekeningen variant 2</vt:lpstr>
      <vt:lpstr>hulptabellen</vt:lpstr>
      <vt:lpstr>opties</vt:lpstr>
      <vt:lpstr>auto_ri1_var1</vt:lpstr>
      <vt:lpstr>auto_ri1_var2</vt:lpstr>
      <vt:lpstr>auto_ri2_var1</vt:lpstr>
      <vt:lpstr>auto_ri2_var2</vt:lpstr>
      <vt:lpstr>duofietsers_var1</vt:lpstr>
      <vt:lpstr>duofietsers_var2</vt:lpstr>
      <vt:lpstr>fiets_ri1_var1</vt:lpstr>
      <vt:lpstr>fiets_ri1_var2</vt:lpstr>
      <vt:lpstr>fiets_ri2_var1</vt:lpstr>
      <vt:lpstr>fiets_ri2_var2</vt:lpstr>
      <vt:lpstr>i_auto_sec_ri1_var1</vt:lpstr>
      <vt:lpstr>i_auto_sec_ri1_var2</vt:lpstr>
      <vt:lpstr>i_auto_sec_ri2_var1</vt:lpstr>
      <vt:lpstr>i_auto_sec_ri2_var2</vt:lpstr>
      <vt:lpstr>i_auto_var1</vt:lpstr>
      <vt:lpstr>i_auto_var2</vt:lpstr>
      <vt:lpstr>i_fiets_sec_ri1_var1</vt:lpstr>
      <vt:lpstr>i_fiets_sec_ri1_var2</vt:lpstr>
      <vt:lpstr>i_fiets_sec_ri2_var1</vt:lpstr>
      <vt:lpstr>i_fiets_sec_ri2_var2</vt:lpstr>
      <vt:lpstr>i_fiets_var1</vt:lpstr>
      <vt:lpstr>i_fiets_var2</vt:lpstr>
      <vt:lpstr>lengte_auto</vt:lpstr>
      <vt:lpstr>lengte_fiets</vt:lpstr>
      <vt:lpstr>oordeel</vt:lpstr>
      <vt:lpstr>periode</vt:lpstr>
      <vt:lpstr>rabatstrook_var1</vt:lpstr>
      <vt:lpstr>rabatstrook_var2</vt:lpstr>
      <vt:lpstr>t_auto_var1</vt:lpstr>
      <vt:lpstr>t_auto_var2</vt:lpstr>
      <vt:lpstr>t_fiets_var1</vt:lpstr>
      <vt:lpstr>t_fiets_var2</vt:lpstr>
      <vt:lpstr>t_inhalen</vt:lpstr>
      <vt:lpstr>t_inhalen_var2</vt:lpstr>
      <vt:lpstr>tab2_auto_ri1_var1</vt:lpstr>
      <vt:lpstr>tab2_auto_ri1_var2</vt:lpstr>
      <vt:lpstr>tab2_auto_ri2_var1</vt:lpstr>
      <vt:lpstr>tab2_auto_ri2_var2</vt:lpstr>
      <vt:lpstr>tab2_duofietsers_var1</vt:lpstr>
      <vt:lpstr>tab2_duofietsers_var2</vt:lpstr>
      <vt:lpstr>tab2_fiets_ri1_var1</vt:lpstr>
      <vt:lpstr>tab2_fiets_ri1_var2</vt:lpstr>
      <vt:lpstr>tab2_fiets_ri2_var1</vt:lpstr>
      <vt:lpstr>tab2_fiets_ri2_var2</vt:lpstr>
      <vt:lpstr>tab2_i_auto_var_1</vt:lpstr>
      <vt:lpstr>tab2_i_auto_var_2</vt:lpstr>
      <vt:lpstr>tab2_i_fiets_var1</vt:lpstr>
      <vt:lpstr>tab2_i_fiets_var2</vt:lpstr>
      <vt:lpstr>tab2_rabatstrook_var1</vt:lpstr>
      <vt:lpstr>tab2_rabatstrook_var2</vt:lpstr>
      <vt:lpstr>tab2_v_auto_var2</vt:lpstr>
      <vt:lpstr>tab2_v_fauto_var1</vt:lpstr>
      <vt:lpstr>tab2_v_fiets_var1</vt:lpstr>
      <vt:lpstr>tab2_v_fiets_var2</vt:lpstr>
      <vt:lpstr>tab2_vrachtverkeer_var1</vt:lpstr>
      <vt:lpstr>tab2_vrachtverkeer_var2</vt:lpstr>
      <vt:lpstr>v_auto_var1</vt:lpstr>
      <vt:lpstr>v_auto_var2</vt:lpstr>
      <vt:lpstr>v_fiets_var1</vt:lpstr>
      <vt:lpstr>v_fiets_var2</vt:lpstr>
      <vt:lpstr>vooruitkijken</vt:lpstr>
      <vt:lpstr>vrachtverkeer_var1</vt:lpstr>
      <vt:lpstr>vrachtverkeer_var2</vt:lpstr>
      <vt:lpstr>wegbreedte_variant_1</vt:lpstr>
      <vt:lpstr>wegbreedte_variant_2</vt:lpstr>
      <vt:lpstr>weglengte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Bart Veroude</dc:creator>
  <cp:keywords/>
  <dc:description>Template by Orange Pepper BV_x000d_
Copyright 2009</dc:description>
  <cp:lastModifiedBy>Wolters, Stan</cp:lastModifiedBy>
  <cp:revision/>
  <dcterms:created xsi:type="dcterms:W3CDTF">2008-06-01T11:03:05Z</dcterms:created>
  <dcterms:modified xsi:type="dcterms:W3CDTF">2024-08-28T07:33:59Z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0x010100F49BFEA852BA054CB8B5CA9B059C6E88</vt:lpwstr>
  </property>
  <property fmtid="{D5CDD505-2E9C-101B-9397-08002B2CF9AE}" pid="3" name="ESRI_WORKBOOK_ID">
    <vt:lpwstr>7c4775d328bf4e1bb16f39a9ad9fb186</vt:lpwstr>
  </property>
  <property fmtid="{D5CDD505-2E9C-101B-9397-08002B2CF9AE}" pid="4" name="MediaServiceImageTags">
    <vt:lpwstr/>
  </property>
</Properties>
</file>